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Welcome" sheetId="1" r:id="rId1"/>
    <sheet name="Lot" sheetId="2" r:id="rId2"/>
    <sheet name="Option 1" sheetId="3" r:id="rId3"/>
    <sheet name="Option 2" sheetId="4" r:id="rId4"/>
    <sheet name="Effects" sheetId="5" r:id="rId5"/>
    <sheet name="Analysis" sheetId="6" r:id="rId6"/>
  </sheets>
  <definedNames>
    <definedName name="_xlnm.Print_Area" localSheetId="5">'Analysis'!$A$5:$J$36</definedName>
  </definedNames>
  <calcPr fullCalcOnLoad="1"/>
</workbook>
</file>

<file path=xl/comments2.xml><?xml version="1.0" encoding="utf-8"?>
<comments xmlns="http://schemas.openxmlformats.org/spreadsheetml/2006/main">
  <authors>
    <author>Ammar</author>
  </authors>
  <commentList>
    <comment ref="C15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C25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3.xml><?xml version="1.0" encoding="utf-8"?>
<comments xmlns="http://schemas.openxmlformats.org/spreadsheetml/2006/main">
  <authors>
    <author>Ammar</author>
  </authors>
  <commentList>
    <comment ref="C26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C16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4.xml><?xml version="1.0" encoding="utf-8"?>
<comments xmlns="http://schemas.openxmlformats.org/spreadsheetml/2006/main">
  <authors>
    <author>Ammar</author>
  </authors>
  <commentList>
    <comment ref="C25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C15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comments5.xml><?xml version="1.0" encoding="utf-8"?>
<comments xmlns="http://schemas.openxmlformats.org/spreadsheetml/2006/main">
  <authors>
    <author>Ammar</author>
  </authors>
  <commentList>
    <comment ref="C23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  <comment ref="C14" authorId="0">
      <text>
        <r>
          <rPr>
            <b/>
            <sz val="8"/>
            <rFont val="Tahoma"/>
            <family val="0"/>
          </rPr>
          <t>Laws of Probabilities:</t>
        </r>
        <r>
          <rPr>
            <sz val="8"/>
            <rFont val="Tahoma"/>
            <family val="0"/>
          </rPr>
          <t xml:space="preserve">
cell value should equal 1</t>
        </r>
      </text>
    </comment>
  </commentList>
</comments>
</file>

<file path=xl/sharedStrings.xml><?xml version="1.0" encoding="utf-8"?>
<sst xmlns="http://schemas.openxmlformats.org/spreadsheetml/2006/main" count="217" uniqueCount="57">
  <si>
    <t>Parameters</t>
  </si>
  <si>
    <t>New lease</t>
  </si>
  <si>
    <t>Wine room effect</t>
  </si>
  <si>
    <t>Current Net</t>
  </si>
  <si>
    <t>Decision Tree</t>
  </si>
  <si>
    <t>Increase in net</t>
  </si>
  <si>
    <t>Probability</t>
  </si>
  <si>
    <t>Final "Net"</t>
  </si>
  <si>
    <t>Lot payment/mon</t>
  </si>
  <si>
    <t>Option 1 payment/mon</t>
  </si>
  <si>
    <t>Option 2 payment/mon</t>
  </si>
  <si>
    <t>Option 1 inc in OC</t>
  </si>
  <si>
    <t>Option 2 inc in OC</t>
  </si>
  <si>
    <t>Total</t>
  </si>
  <si>
    <t>Do not move</t>
  </si>
  <si>
    <t>Drive-up effect</t>
  </si>
  <si>
    <t>+ Wine room</t>
  </si>
  <si>
    <t>Buy new lot</t>
  </si>
  <si>
    <t>Storage effect</t>
  </si>
  <si>
    <t>Storage Effect</t>
  </si>
  <si>
    <t>No Wine room</t>
  </si>
  <si>
    <t>Length of Loan</t>
  </si>
  <si>
    <t>Monthly</t>
  </si>
  <si>
    <t>Weekly</t>
  </si>
  <si>
    <t>Annual Interest Rate %</t>
  </si>
  <si>
    <t>Type of Payment Schedule</t>
  </si>
  <si>
    <t>Bimonthly</t>
  </si>
  <si>
    <t>Lot and Construction Loan Amount</t>
  </si>
  <si>
    <t>Option 1 Loan Amount</t>
  </si>
  <si>
    <t>Option 2 Loan Amount</t>
  </si>
  <si>
    <t>Lot and Contruction Loan Payments</t>
  </si>
  <si>
    <t>Option 1 Loan Payment</t>
  </si>
  <si>
    <t>Option 2 Loan Payment</t>
  </si>
  <si>
    <t>Option 1</t>
  </si>
  <si>
    <t>Max.</t>
  </si>
  <si>
    <t>Min.</t>
  </si>
  <si>
    <t>Average</t>
  </si>
  <si>
    <t>Option 2</t>
  </si>
  <si>
    <t>Final Net Revenue</t>
  </si>
  <si>
    <t>Now</t>
  </si>
  <si>
    <t>Later</t>
  </si>
  <si>
    <t>Scenario</t>
  </si>
  <si>
    <t>Creative Solutions</t>
  </si>
  <si>
    <t>"Out of this world business solutions for the 21st century"</t>
  </si>
  <si>
    <t>Lot &amp; Construction Payment Schedule</t>
  </si>
  <si>
    <t>Loan Amount</t>
  </si>
  <si>
    <t>Loan Payments</t>
  </si>
  <si>
    <t>Loan Payment</t>
  </si>
  <si>
    <t>Option 1 Payment Schedule</t>
  </si>
  <si>
    <t>Option 2 Payment Schedule</t>
  </si>
  <si>
    <t>Increase in Operating Costs</t>
  </si>
  <si>
    <t>Optimistic</t>
  </si>
  <si>
    <t>Pessimistic</t>
  </si>
  <si>
    <t>Conservative</t>
  </si>
  <si>
    <t>Probability Estimates</t>
  </si>
  <si>
    <t>Wine Room Effect</t>
  </si>
  <si>
    <t>Pick your best estimate!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</si>
</sst>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_);_(* \(#,##0.0\);_(* &quot;-&quot;?_);_(@_)"/>
    <numFmt numFmtId="170" formatCode="_(* #,##0.00_);_(* \(#,##0.00\);_(* &quot;-&quot;?_);_(@_)"/>
    <numFmt numFmtId="171" formatCode="_(* #,##0_);_(* \(#,##0\);_(* &quot;-&quot;?_);_(@_)"/>
    <numFmt numFmtId="172" formatCode="&quot;$&quot;#,##0.00"/>
    <numFmt numFmtId="173" formatCode="0.0%"/>
    <numFmt numFmtId="174" formatCode="&quot;$&quot;#,##0.000_);[Red]\(&quot;$&quot;#,##0.000\)"/>
    <numFmt numFmtId="175" formatCode="&quot;$&quot;#,##0.0000_);[Red]\(&quot;$&quot;#,##0.0000\)"/>
    <numFmt numFmtId="176" formatCode="&quot;$&quot;#,##0.0_);[Red]\(&quot;$&quot;#,##0.0\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</numFmts>
  <fonts count="39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i/>
      <sz val="10"/>
      <color indexed="14"/>
      <name val="Arial"/>
      <family val="0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2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i/>
      <sz val="24"/>
      <name val="Arial"/>
      <family val="2"/>
    </font>
    <font>
      <sz val="10"/>
      <color indexed="9"/>
      <name val="Arial"/>
      <family val="0"/>
    </font>
    <font>
      <sz val="20"/>
      <color indexed="9"/>
      <name val="Arial"/>
      <family val="0"/>
    </font>
    <font>
      <b/>
      <sz val="14"/>
      <color indexed="9"/>
      <name val="Arial"/>
      <family val="0"/>
    </font>
    <font>
      <b/>
      <sz val="10"/>
      <color indexed="9"/>
      <name val="Arial"/>
      <family val="0"/>
    </font>
    <font>
      <sz val="12"/>
      <name val="Copperplate Gothic Bold"/>
      <family val="2"/>
    </font>
    <font>
      <b/>
      <sz val="11.75"/>
      <name val="Arial"/>
      <family val="0"/>
    </font>
    <font>
      <sz val="9.75"/>
      <name val="Arial"/>
      <family val="0"/>
    </font>
    <font>
      <sz val="11.5"/>
      <name val="Arial"/>
      <family val="0"/>
    </font>
    <font>
      <b/>
      <u val="single"/>
      <sz val="14"/>
      <color indexed="12"/>
      <name val="Georgia"/>
      <family val="1"/>
    </font>
    <font>
      <b/>
      <u val="single"/>
      <sz val="10"/>
      <color indexed="12"/>
      <name val="Georgia"/>
      <family val="1"/>
    </font>
    <font>
      <i/>
      <sz val="10"/>
      <name val="Arial Black"/>
      <family val="2"/>
    </font>
    <font>
      <u val="single"/>
      <sz val="10"/>
      <name val="Arial"/>
      <family val="2"/>
    </font>
    <font>
      <b/>
      <sz val="36"/>
      <color indexed="9"/>
      <name val="Arial"/>
      <family val="2"/>
    </font>
    <font>
      <i/>
      <sz val="28"/>
      <color indexed="9"/>
      <name val="Arial"/>
      <family val="2"/>
    </font>
    <font>
      <sz val="18"/>
      <color indexed="17"/>
      <name val="Copperplate Gothic Bold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4" fontId="3" fillId="2" borderId="1" xfId="17" applyFont="1" applyFill="1" applyBorder="1" applyAlignment="1">
      <alignment/>
    </xf>
    <xf numFmtId="44" fontId="3" fillId="2" borderId="1" xfId="17" applyFont="1" applyFill="1" applyBorder="1" applyAlignment="1">
      <alignment horizontal="center"/>
    </xf>
    <xf numFmtId="44" fontId="3" fillId="3" borderId="0" xfId="17" applyFont="1" applyFill="1" applyAlignment="1">
      <alignment horizontal="center"/>
    </xf>
    <xf numFmtId="0" fontId="0" fillId="4" borderId="0" xfId="21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21" applyNumberFormat="1" applyFill="1" applyAlignment="1">
      <alignment horizontal="center"/>
    </xf>
    <xf numFmtId="44" fontId="0" fillId="3" borderId="0" xfId="17" applyNumberFormat="1" applyFill="1" applyAlignment="1">
      <alignment horizontal="center"/>
    </xf>
    <xf numFmtId="44" fontId="0" fillId="3" borderId="0" xfId="17" applyNumberFormat="1" applyFill="1" applyAlignment="1">
      <alignment/>
    </xf>
    <xf numFmtId="9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4" fillId="5" borderId="2" xfId="0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0" fillId="5" borderId="0" xfId="0" applyFill="1" applyAlignment="1">
      <alignment/>
    </xf>
    <xf numFmtId="165" fontId="3" fillId="3" borderId="1" xfId="17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0" fillId="6" borderId="0" xfId="0" applyFill="1" applyAlignment="1">
      <alignment/>
    </xf>
    <xf numFmtId="0" fontId="27" fillId="6" borderId="0" xfId="0" applyFont="1" applyFill="1" applyAlignment="1">
      <alignment horizontal="left"/>
    </xf>
    <xf numFmtId="0" fontId="27" fillId="6" borderId="0" xfId="0" applyFont="1" applyFill="1" applyAlignment="1">
      <alignment horizontal="center"/>
    </xf>
    <xf numFmtId="0" fontId="0" fillId="6" borderId="0" xfId="21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24" fillId="6" borderId="0" xfId="0" applyFont="1" applyFill="1" applyAlignment="1">
      <alignment/>
    </xf>
    <xf numFmtId="8" fontId="0" fillId="6" borderId="0" xfId="0" applyNumberFormat="1" applyFill="1" applyAlignment="1">
      <alignment/>
    </xf>
    <xf numFmtId="0" fontId="3" fillId="6" borderId="0" xfId="0" applyFont="1" applyFill="1" applyAlignment="1">
      <alignment/>
    </xf>
    <xf numFmtId="0" fontId="25" fillId="6" borderId="0" xfId="0" applyFont="1" applyFill="1" applyAlignment="1">
      <alignment/>
    </xf>
    <xf numFmtId="0" fontId="26" fillId="6" borderId="0" xfId="0" applyFont="1" applyFill="1" applyAlignment="1">
      <alignment/>
    </xf>
    <xf numFmtId="9" fontId="23" fillId="6" borderId="0" xfId="0" applyNumberFormat="1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9" fontId="0" fillId="6" borderId="0" xfId="21" applyFill="1" applyAlignment="1">
      <alignment/>
    </xf>
    <xf numFmtId="0" fontId="3" fillId="6" borderId="0" xfId="0" applyFont="1" applyFill="1" applyAlignment="1">
      <alignment vertical="center"/>
    </xf>
    <xf numFmtId="44" fontId="0" fillId="6" borderId="0" xfId="17" applyFill="1" applyAlignment="1">
      <alignment/>
    </xf>
    <xf numFmtId="0" fontId="0" fillId="6" borderId="0" xfId="21" applyNumberFormat="1" applyFill="1" applyAlignment="1">
      <alignment/>
    </xf>
    <xf numFmtId="3" fontId="23" fillId="6" borderId="0" xfId="0" applyNumberFormat="1" applyFont="1" applyFill="1" applyAlignment="1">
      <alignment/>
    </xf>
    <xf numFmtId="0" fontId="27" fillId="6" borderId="0" xfId="0" applyFont="1" applyFill="1" applyAlignment="1">
      <alignment/>
    </xf>
    <xf numFmtId="0" fontId="0" fillId="6" borderId="0" xfId="21" applyNumberFormat="1" applyFill="1" applyAlignment="1">
      <alignment/>
    </xf>
    <xf numFmtId="0" fontId="17" fillId="6" borderId="0" xfId="0" applyFont="1" applyFill="1" applyAlignment="1">
      <alignment/>
    </xf>
    <xf numFmtId="0" fontId="18" fillId="6" borderId="0" xfId="0" applyFont="1" applyFill="1" applyAlignment="1">
      <alignment/>
    </xf>
    <xf numFmtId="165" fontId="0" fillId="6" borderId="0" xfId="17" applyNumberFormat="1" applyFill="1" applyAlignment="1">
      <alignment horizontal="left" indent="2"/>
    </xf>
    <xf numFmtId="9" fontId="0" fillId="6" borderId="0" xfId="0" applyNumberFormat="1" applyFill="1" applyAlignment="1">
      <alignment horizontal="center"/>
    </xf>
    <xf numFmtId="9" fontId="0" fillId="6" borderId="0" xfId="21" applyFill="1" applyAlignment="1">
      <alignment/>
    </xf>
    <xf numFmtId="44" fontId="0" fillId="6" borderId="0" xfId="17" applyFill="1" applyAlignment="1">
      <alignment/>
    </xf>
    <xf numFmtId="3" fontId="0" fillId="6" borderId="0" xfId="0" applyNumberFormat="1" applyFill="1" applyAlignment="1">
      <alignment/>
    </xf>
    <xf numFmtId="44" fontId="3" fillId="3" borderId="1" xfId="17" applyFont="1" applyFill="1" applyBorder="1" applyAlignment="1">
      <alignment horizontal="center"/>
    </xf>
    <xf numFmtId="0" fontId="33" fillId="6" borderId="0" xfId="0" applyFont="1" applyFill="1" applyAlignment="1">
      <alignment horizontal="center"/>
    </xf>
    <xf numFmtId="0" fontId="3" fillId="6" borderId="0" xfId="0" applyFont="1" applyFill="1" applyAlignment="1">
      <alignment horizontal="right"/>
    </xf>
    <xf numFmtId="165" fontId="0" fillId="6" borderId="0" xfId="17" applyNumberFormat="1" applyFill="1" applyAlignment="1">
      <alignment horizontal="left" indent="2"/>
    </xf>
    <xf numFmtId="0" fontId="34" fillId="6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9" fontId="0" fillId="5" borderId="0" xfId="0" applyNumberFormat="1" applyFont="1" applyFill="1" applyAlignment="1">
      <alignment/>
    </xf>
    <xf numFmtId="0" fontId="0" fillId="5" borderId="3" xfId="0" applyFill="1" applyBorder="1" applyAlignment="1">
      <alignment/>
    </xf>
    <xf numFmtId="165" fontId="5" fillId="5" borderId="0" xfId="17" applyNumberFormat="1" applyFont="1" applyFill="1" applyAlignment="1">
      <alignment/>
    </xf>
    <xf numFmtId="165" fontId="6" fillId="5" borderId="4" xfId="17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65" fontId="4" fillId="5" borderId="0" xfId="17" applyNumberFormat="1" applyFont="1" applyFill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165" fontId="0" fillId="5" borderId="4" xfId="17" applyNumberFormat="1" applyFill="1" applyBorder="1" applyAlignment="1">
      <alignment/>
    </xf>
    <xf numFmtId="165" fontId="0" fillId="5" borderId="2" xfId="17" applyNumberFormat="1" applyFill="1" applyBorder="1" applyAlignment="1">
      <alignment horizontal="center"/>
    </xf>
    <xf numFmtId="165" fontId="0" fillId="5" borderId="2" xfId="17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171" fontId="7" fillId="5" borderId="0" xfId="0" applyNumberFormat="1" applyFont="1" applyFill="1" applyAlignment="1">
      <alignment/>
    </xf>
    <xf numFmtId="168" fontId="8" fillId="5" borderId="3" xfId="21" applyNumberFormat="1" applyFont="1" applyFill="1" applyBorder="1" applyAlignment="1">
      <alignment/>
    </xf>
    <xf numFmtId="9" fontId="0" fillId="5" borderId="3" xfId="0" applyNumberFormat="1" applyFill="1" applyBorder="1" applyAlignment="1">
      <alignment/>
    </xf>
    <xf numFmtId="165" fontId="5" fillId="5" borderId="0" xfId="17" applyNumberFormat="1" applyFont="1" applyFill="1" applyAlignment="1">
      <alignment/>
    </xf>
    <xf numFmtId="0" fontId="9" fillId="5" borderId="0" xfId="0" applyFont="1" applyFill="1" applyAlignment="1">
      <alignment/>
    </xf>
    <xf numFmtId="0" fontId="5" fillId="5" borderId="4" xfId="17" applyNumberFormat="1" applyFont="1" applyFill="1" applyBorder="1" applyAlignment="1">
      <alignment horizontal="left"/>
    </xf>
    <xf numFmtId="165" fontId="0" fillId="5" borderId="0" xfId="17" applyNumberFormat="1" applyFill="1" applyAlignment="1">
      <alignment/>
    </xf>
    <xf numFmtId="0" fontId="8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68" fontId="10" fillId="5" borderId="0" xfId="21" applyNumberFormat="1" applyFont="1" applyFill="1" applyBorder="1" applyAlignment="1">
      <alignment/>
    </xf>
    <xf numFmtId="9" fontId="0" fillId="5" borderId="0" xfId="0" applyNumberFormat="1" applyFill="1" applyBorder="1" applyAlignment="1">
      <alignment/>
    </xf>
    <xf numFmtId="1" fontId="11" fillId="5" borderId="0" xfId="0" applyNumberFormat="1" applyFont="1" applyFill="1" applyAlignment="1">
      <alignment/>
    </xf>
    <xf numFmtId="9" fontId="0" fillId="5" borderId="5" xfId="0" applyNumberFormat="1" applyFill="1" applyBorder="1" applyAlignment="1">
      <alignment/>
    </xf>
    <xf numFmtId="1" fontId="7" fillId="5" borderId="0" xfId="0" applyNumberFormat="1" applyFont="1" applyFill="1" applyAlignment="1">
      <alignment/>
    </xf>
    <xf numFmtId="0" fontId="0" fillId="5" borderId="3" xfId="0" applyFill="1" applyBorder="1" applyAlignment="1" quotePrefix="1">
      <alignment/>
    </xf>
    <xf numFmtId="0" fontId="12" fillId="5" borderId="4" xfId="0" applyFont="1" applyFill="1" applyBorder="1" applyAlignment="1">
      <alignment/>
    </xf>
    <xf numFmtId="165" fontId="6" fillId="5" borderId="4" xfId="17" applyNumberFormat="1" applyFont="1" applyFill="1" applyBorder="1" applyAlignment="1">
      <alignment horizontal="left"/>
    </xf>
    <xf numFmtId="1" fontId="11" fillId="5" borderId="4" xfId="0" applyNumberFormat="1" applyFont="1" applyFill="1" applyBorder="1" applyAlignment="1">
      <alignment/>
    </xf>
    <xf numFmtId="43" fontId="6" fillId="5" borderId="4" xfId="15" applyFont="1" applyFill="1" applyBorder="1" applyAlignment="1">
      <alignment horizontal="left"/>
    </xf>
    <xf numFmtId="9" fontId="0" fillId="5" borderId="0" xfId="0" applyNumberFormat="1" applyFill="1" applyAlignment="1">
      <alignment/>
    </xf>
    <xf numFmtId="0" fontId="0" fillId="5" borderId="5" xfId="0" applyFill="1" applyBorder="1" applyAlignment="1">
      <alignment/>
    </xf>
    <xf numFmtId="0" fontId="8" fillId="5" borderId="0" xfId="0" applyFont="1" applyFill="1" applyAlignment="1">
      <alignment horizontal="center"/>
    </xf>
    <xf numFmtId="165" fontId="6" fillId="5" borderId="0" xfId="17" applyNumberFormat="1" applyFont="1" applyFill="1" applyAlignment="1">
      <alignment horizontal="left"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165" fontId="0" fillId="5" borderId="0" xfId="17" applyNumberFormat="1" applyFont="1" applyFill="1" applyAlignment="1">
      <alignment/>
    </xf>
    <xf numFmtId="44" fontId="0" fillId="5" borderId="0" xfId="17" applyFont="1" applyFill="1" applyAlignment="1">
      <alignment/>
    </xf>
    <xf numFmtId="0" fontId="14" fillId="5" borderId="0" xfId="17" applyNumberFormat="1" applyFont="1" applyFill="1" applyAlignment="1">
      <alignment/>
    </xf>
    <xf numFmtId="165" fontId="6" fillId="5" borderId="0" xfId="17" applyNumberFormat="1" applyFont="1" applyFill="1" applyAlignment="1">
      <alignment/>
    </xf>
    <xf numFmtId="0" fontId="27" fillId="6" borderId="0" xfId="0" applyFont="1" applyFill="1" applyAlignment="1">
      <alignment horizontal="center"/>
    </xf>
    <xf numFmtId="0" fontId="33" fillId="6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7" fillId="5" borderId="0" xfId="0" applyFont="1" applyFill="1" applyAlignment="1">
      <alignment horizontal="center"/>
    </xf>
    <xf numFmtId="0" fontId="0" fillId="7" borderId="0" xfId="0" applyFill="1" applyAlignment="1">
      <alignment/>
    </xf>
    <xf numFmtId="0" fontId="35" fillId="7" borderId="0" xfId="0" applyFont="1" applyFill="1" applyAlignment="1">
      <alignment horizontal="center"/>
    </xf>
    <xf numFmtId="0" fontId="22" fillId="7" borderId="0" xfId="0" applyFont="1" applyFill="1" applyAlignment="1">
      <alignment/>
    </xf>
    <xf numFmtId="0" fontId="22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Final Net Revenue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025"/>
          <c:w val="0.964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Analysis!$L$8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Analysis!$L$10:$N$10</c:f>
              <c:numCache>
                <c:ptCount val="3"/>
                <c:pt idx="0">
                  <c:v>74178.34503831029</c:v>
                </c:pt>
                <c:pt idx="1">
                  <c:v>38898.345038310275</c:v>
                </c:pt>
                <c:pt idx="2">
                  <c:v>47854.320038310274</c:v>
                </c:pt>
              </c:numCache>
            </c:numRef>
          </c:val>
        </c:ser>
        <c:ser>
          <c:idx val="1"/>
          <c:order val="1"/>
          <c:tx>
            <c:strRef>
              <c:f>Analysis!$O$8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Analysis!$O$10:$Q$10</c:f>
              <c:numCache>
                <c:ptCount val="3"/>
                <c:pt idx="0">
                  <c:v>45987.99040366248</c:v>
                </c:pt>
                <c:pt idx="1">
                  <c:v>43047.99040366248</c:v>
                </c:pt>
                <c:pt idx="2">
                  <c:v>44958.99040366248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auto val="1"/>
        <c:lblOffset val="100"/>
        <c:noMultiLvlLbl val="0"/>
      </c:catAx>
      <c:valAx>
        <c:axId val="13507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6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1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Final Net Revenue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825"/>
          <c:w val="0.964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Analysis!$L$8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Analysis!$L$10:$N$10</c:f>
              <c:numCache>
                <c:ptCount val="3"/>
                <c:pt idx="0">
                  <c:v>74178.34503831029</c:v>
                </c:pt>
                <c:pt idx="1">
                  <c:v>38898.345038310275</c:v>
                </c:pt>
                <c:pt idx="2">
                  <c:v>47854.320038310274</c:v>
                </c:pt>
              </c:numCache>
            </c:numRef>
          </c:val>
        </c:ser>
        <c:ser>
          <c:idx val="1"/>
          <c:order val="1"/>
          <c:tx>
            <c:strRef>
              <c:f>Analysis!$O$8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Analysis!$O$10:$Q$10</c:f>
              <c:numCache>
                <c:ptCount val="3"/>
                <c:pt idx="0">
                  <c:v>45987.99040366248</c:v>
                </c:pt>
                <c:pt idx="1">
                  <c:v>43047.99040366248</c:v>
                </c:pt>
                <c:pt idx="2">
                  <c:v>44958.99040366248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56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Final Net Revenue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925"/>
          <c:w val="0.964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Analysis!$L$8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Analysis!$L$10:$N$10</c:f>
              <c:numCache>
                <c:ptCount val="3"/>
                <c:pt idx="0">
                  <c:v>74178.34503831029</c:v>
                </c:pt>
                <c:pt idx="1">
                  <c:v>38898.345038310275</c:v>
                </c:pt>
                <c:pt idx="2">
                  <c:v>47854.320038310274</c:v>
                </c:pt>
              </c:numCache>
            </c:numRef>
          </c:val>
        </c:ser>
        <c:ser>
          <c:idx val="1"/>
          <c:order val="1"/>
          <c:tx>
            <c:strRef>
              <c:f>Analysis!$O$8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Analysis!$O$10:$Q$10</c:f>
              <c:numCache>
                <c:ptCount val="3"/>
                <c:pt idx="0">
                  <c:v>45987.99040366248</c:v>
                </c:pt>
                <c:pt idx="1">
                  <c:v>43047.99040366248</c:v>
                </c:pt>
                <c:pt idx="2">
                  <c:v>44958.99040366248</c:v>
                </c:pt>
              </c:numCache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auto val="1"/>
        <c:lblOffset val="100"/>
        <c:noMultiLvlLbl val="0"/>
      </c:catAx>
      <c:valAx>
        <c:axId val="37511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7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1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Final Net Revenue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95"/>
          <c:w val="0.970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Analysis!$L$8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Analysis!$L$10:$N$10</c:f>
              <c:numCache>
                <c:ptCount val="3"/>
                <c:pt idx="0">
                  <c:v>74178.34503831029</c:v>
                </c:pt>
                <c:pt idx="1">
                  <c:v>38898.345038310275</c:v>
                </c:pt>
                <c:pt idx="2">
                  <c:v>47854.320038310274</c:v>
                </c:pt>
              </c:numCache>
            </c:numRef>
          </c:val>
        </c:ser>
        <c:ser>
          <c:idx val="1"/>
          <c:order val="1"/>
          <c:tx>
            <c:strRef>
              <c:f>Analysis!$O$8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>
                <c:ptCount val="3"/>
                <c:pt idx="0">
                  <c:v>Max.</c:v>
                </c:pt>
                <c:pt idx="1">
                  <c:v>Min.</c:v>
                </c:pt>
                <c:pt idx="2">
                  <c:v>Average</c:v>
                </c:pt>
              </c:strCache>
            </c:strRef>
          </c:cat>
          <c:val>
            <c:numRef>
              <c:f>Analysis!$O$10:$Q$10</c:f>
              <c:numCache>
                <c:ptCount val="3"/>
                <c:pt idx="0">
                  <c:v>45987.99040366248</c:v>
                </c:pt>
                <c:pt idx="1">
                  <c:v>43047.99040366248</c:v>
                </c:pt>
                <c:pt idx="2">
                  <c:v>44958.99040366248</c:v>
                </c:pt>
              </c:numCache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67622"/>
        <c:crosses val="autoZero"/>
        <c:auto val="1"/>
        <c:lblOffset val="100"/>
        <c:noMultiLvlLbl val="0"/>
      </c:catAx>
      <c:valAx>
        <c:axId val="18567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1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Final Net Revenue</a:t>
            </a:r>
          </a:p>
        </c:rich>
      </c:tx>
      <c:layout>
        <c:manualLayout>
          <c:xMode val="factor"/>
          <c:yMode val="factor"/>
          <c:x val="0.003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175"/>
          <c:w val="0.967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Analysis!$L$8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/>
            </c:strRef>
          </c:cat>
          <c:val>
            <c:numRef>
              <c:f>Analysis!$L$10:$N$10</c:f>
              <c:numCache/>
            </c:numRef>
          </c:val>
        </c:ser>
        <c:ser>
          <c:idx val="1"/>
          <c:order val="1"/>
          <c:tx>
            <c:strRef>
              <c:f>Analysis!$O$8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Analysis!$L$9:$N$9</c:f>
              <c:strCache/>
            </c:strRef>
          </c:cat>
          <c:val>
            <c:numRef>
              <c:f>Analysis!$O$10:$Q$10</c:f>
              <c:numCache/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0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1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ot!A1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Option 1'!A1" /><Relationship Id="rId3" Type="http://schemas.openxmlformats.org/officeDocument/2006/relationships/hyperlink" Target="#'Option 2'!A1" /><Relationship Id="rId4" Type="http://schemas.openxmlformats.org/officeDocument/2006/relationships/hyperlink" Target="#Welc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Welcome!A1" /><Relationship Id="rId3" Type="http://schemas.openxmlformats.org/officeDocument/2006/relationships/hyperlink" Target="#Effect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Effects!A1" /><Relationship Id="rId3" Type="http://schemas.openxmlformats.org/officeDocument/2006/relationships/hyperlink" Target="#Welc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Welcome!A1" /><Relationship Id="rId3" Type="http://schemas.openxmlformats.org/officeDocument/2006/relationships/hyperlink" Target="#Analysis!A1" /><Relationship Id="rId4" Type="http://schemas.openxmlformats.org/officeDocument/2006/relationships/hyperlink" Target="#Lo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Welc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104775</xdr:rowOff>
    </xdr:from>
    <xdr:to>
      <xdr:col>2</xdr:col>
      <xdr:colOff>447675</xdr:colOff>
      <xdr:row>10</xdr:row>
      <xdr:rowOff>76200</xdr:rowOff>
    </xdr:to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142875" y="2057400"/>
          <a:ext cx="15240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00FF"/>
              </a:solidFill>
            </a:rPr>
            <a:t>BEGIN</a:t>
          </a:r>
        </a:p>
      </xdr:txBody>
    </xdr:sp>
    <xdr:clientData/>
  </xdr:twoCellAnchor>
  <xdr:twoCellAnchor>
    <xdr:from>
      <xdr:col>5</xdr:col>
      <xdr:colOff>676275</xdr:colOff>
      <xdr:row>8</xdr:row>
      <xdr:rowOff>152400</xdr:rowOff>
    </xdr:from>
    <xdr:to>
      <xdr:col>11</xdr:col>
      <xdr:colOff>485775</xdr:colOff>
      <xdr:row>37</xdr:row>
      <xdr:rowOff>76200</xdr:rowOff>
    </xdr:to>
    <xdr:sp>
      <xdr:nvSpPr>
        <xdr:cNvPr id="2" name="AutoShape 17"/>
        <xdr:cNvSpPr>
          <a:spLocks/>
        </xdr:cNvSpPr>
      </xdr:nvSpPr>
      <xdr:spPr>
        <a:xfrm>
          <a:off x="3724275" y="2266950"/>
          <a:ext cx="4457700" cy="4619625"/>
        </a:xfrm>
        <a:prstGeom prst="donu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38100</xdr:rowOff>
    </xdr:from>
    <xdr:to>
      <xdr:col>11</xdr:col>
      <xdr:colOff>457200</xdr:colOff>
      <xdr:row>34</xdr:row>
      <xdr:rowOff>104775</xdr:rowOff>
    </xdr:to>
    <xdr:pic macro="[0]!rotate"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67200000">
          <a:off x="3343275" y="1828800"/>
          <a:ext cx="4810125" cy="46005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104775</xdr:rowOff>
    </xdr:from>
    <xdr:to>
      <xdr:col>5</xdr:col>
      <xdr:colOff>285750</xdr:colOff>
      <xdr:row>14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00000">
          <a:off x="1838325" y="1895475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5</xdr:col>
      <xdr:colOff>266700</xdr:colOff>
      <xdr:row>25</xdr:row>
      <xdr:rowOff>47625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00000">
          <a:off x="1819275" y="3571875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5</xdr:col>
      <xdr:colOff>276225</xdr:colOff>
      <xdr:row>36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00000">
          <a:off x="1828800" y="535305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114300</xdr:rowOff>
    </xdr:from>
    <xdr:to>
      <xdr:col>14</xdr:col>
      <xdr:colOff>114300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00000">
          <a:off x="8143875" y="190500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17</xdr:row>
      <xdr:rowOff>104775</xdr:rowOff>
    </xdr:from>
    <xdr:to>
      <xdr:col>14</xdr:col>
      <xdr:colOff>114300</xdr:colOff>
      <xdr:row>25</xdr:row>
      <xdr:rowOff>152400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00000">
          <a:off x="8143875" y="367665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28</xdr:row>
      <xdr:rowOff>0</xdr:rowOff>
    </xdr:from>
    <xdr:to>
      <xdr:col>14</xdr:col>
      <xdr:colOff>114300</xdr:colOff>
      <xdr:row>36</xdr:row>
      <xdr:rowOff>47625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00000">
          <a:off x="8143875" y="535305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2</xdr:row>
      <xdr:rowOff>66675</xdr:rowOff>
    </xdr:from>
    <xdr:to>
      <xdr:col>27</xdr:col>
      <xdr:colOff>114300</xdr:colOff>
      <xdr:row>22</xdr:row>
      <xdr:rowOff>85725</xdr:rowOff>
    </xdr:to>
    <xdr:graphicFrame>
      <xdr:nvGraphicFramePr>
        <xdr:cNvPr id="1" name="Chart 17"/>
        <xdr:cNvGraphicFramePr/>
      </xdr:nvGraphicFramePr>
      <xdr:xfrm>
        <a:off x="5133975" y="390525"/>
        <a:ext cx="5343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21</xdr:row>
      <xdr:rowOff>133350</xdr:rowOff>
    </xdr:from>
    <xdr:to>
      <xdr:col>8</xdr:col>
      <xdr:colOff>1190625</xdr:colOff>
      <xdr:row>25</xdr:row>
      <xdr:rowOff>104775</xdr:rowOff>
    </xdr:to>
    <xdr:sp>
      <xdr:nvSpPr>
        <xdr:cNvPr id="2" name="TextBox 19">
          <a:hlinkClick r:id="rId2"/>
        </xdr:cNvPr>
        <xdr:cNvSpPr txBox="1">
          <a:spLocks noChangeArrowheads="1"/>
        </xdr:cNvSpPr>
      </xdr:nvSpPr>
      <xdr:spPr>
        <a:xfrm>
          <a:off x="1666875" y="3743325"/>
          <a:ext cx="123825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ESTIMATE WITH WINE ROOM OPTION</a:t>
          </a:r>
        </a:p>
      </xdr:txBody>
    </xdr:sp>
    <xdr:clientData/>
  </xdr:twoCellAnchor>
  <xdr:twoCellAnchor>
    <xdr:from>
      <xdr:col>9</xdr:col>
      <xdr:colOff>57150</xdr:colOff>
      <xdr:row>21</xdr:row>
      <xdr:rowOff>133350</xdr:rowOff>
    </xdr:from>
    <xdr:to>
      <xdr:col>17</xdr:col>
      <xdr:colOff>476250</xdr:colOff>
      <xdr:row>25</xdr:row>
      <xdr:rowOff>104775</xdr:rowOff>
    </xdr:to>
    <xdr:sp>
      <xdr:nvSpPr>
        <xdr:cNvPr id="3" name="TextBox 20">
          <a:hlinkClick r:id="rId3"/>
        </xdr:cNvPr>
        <xdr:cNvSpPr txBox="1">
          <a:spLocks noChangeArrowheads="1"/>
        </xdr:cNvSpPr>
      </xdr:nvSpPr>
      <xdr:spPr>
        <a:xfrm>
          <a:off x="3505200" y="3743325"/>
          <a:ext cx="123825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ESTIMATE WITHOUT WINE ROOM OPTION</a:t>
          </a:r>
        </a:p>
      </xdr:txBody>
    </xdr:sp>
    <xdr:clientData/>
  </xdr:twoCellAnchor>
  <xdr:twoCellAnchor>
    <xdr:from>
      <xdr:col>18</xdr:col>
      <xdr:colOff>304800</xdr:colOff>
      <xdr:row>24</xdr:row>
      <xdr:rowOff>0</xdr:rowOff>
    </xdr:from>
    <xdr:to>
      <xdr:col>19</xdr:col>
      <xdr:colOff>371475</xdr:colOff>
      <xdr:row>25</xdr:row>
      <xdr:rowOff>114300</xdr:rowOff>
    </xdr:to>
    <xdr:sp>
      <xdr:nvSpPr>
        <xdr:cNvPr id="4" name="TextBox 21">
          <a:hlinkClick r:id="rId4"/>
        </xdr:cNvPr>
        <xdr:cNvSpPr txBox="1">
          <a:spLocks noChangeArrowheads="1"/>
        </xdr:cNvSpPr>
      </xdr:nvSpPr>
      <xdr:spPr>
        <a:xfrm>
          <a:off x="5181600" y="4095750"/>
          <a:ext cx="6762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1</xdr:row>
      <xdr:rowOff>28575</xdr:rowOff>
    </xdr:from>
    <xdr:to>
      <xdr:col>26</xdr:col>
      <xdr:colOff>390525</xdr:colOff>
      <xdr:row>59</xdr:row>
      <xdr:rowOff>28575</xdr:rowOff>
    </xdr:to>
    <xdr:graphicFrame>
      <xdr:nvGraphicFramePr>
        <xdr:cNvPr id="1" name="Chart 13"/>
        <xdr:cNvGraphicFramePr/>
      </xdr:nvGraphicFramePr>
      <xdr:xfrm>
        <a:off x="5467350" y="304800"/>
        <a:ext cx="5343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523875</xdr:colOff>
      <xdr:row>60</xdr:row>
      <xdr:rowOff>47625</xdr:rowOff>
    </xdr:from>
    <xdr:to>
      <xdr:col>18</xdr:col>
      <xdr:colOff>590550</xdr:colOff>
      <xdr:row>62</xdr:row>
      <xdr:rowOff>0</xdr:rowOff>
    </xdr:to>
    <xdr:sp>
      <xdr:nvSpPr>
        <xdr:cNvPr id="2" name="TextBox 14">
          <a:hlinkClick r:id="rId2"/>
        </xdr:cNvPr>
        <xdr:cNvSpPr txBox="1">
          <a:spLocks noChangeArrowheads="1"/>
        </xdr:cNvSpPr>
      </xdr:nvSpPr>
      <xdr:spPr>
        <a:xfrm>
          <a:off x="5457825" y="4010025"/>
          <a:ext cx="6762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8</xdr:col>
      <xdr:colOff>1152525</xdr:colOff>
      <xdr:row>58</xdr:row>
      <xdr:rowOff>57150</xdr:rowOff>
    </xdr:from>
    <xdr:to>
      <xdr:col>9</xdr:col>
      <xdr:colOff>66675</xdr:colOff>
      <xdr:row>62</xdr:row>
      <xdr:rowOff>28575</xdr:rowOff>
    </xdr:to>
    <xdr:sp>
      <xdr:nvSpPr>
        <xdr:cNvPr id="3" name="TextBox 15">
          <a:hlinkClick r:id="rId3"/>
        </xdr:cNvPr>
        <xdr:cNvSpPr txBox="1">
          <a:spLocks noChangeArrowheads="1"/>
        </xdr:cNvSpPr>
      </xdr:nvSpPr>
      <xdr:spPr>
        <a:xfrm>
          <a:off x="2752725" y="3695700"/>
          <a:ext cx="123825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PROCEED TO ESTIMATE PROBABILITIES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</xdr:row>
      <xdr:rowOff>9525</xdr:rowOff>
    </xdr:from>
    <xdr:to>
      <xdr:col>19</xdr:col>
      <xdr:colOff>381000</xdr:colOff>
      <xdr:row>63</xdr:row>
      <xdr:rowOff>19050</xdr:rowOff>
    </xdr:to>
    <xdr:graphicFrame>
      <xdr:nvGraphicFramePr>
        <xdr:cNvPr id="1" name="Chart 13"/>
        <xdr:cNvGraphicFramePr/>
      </xdr:nvGraphicFramePr>
      <xdr:xfrm>
        <a:off x="5219700" y="295275"/>
        <a:ext cx="5448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1285875</xdr:colOff>
      <xdr:row>62</xdr:row>
      <xdr:rowOff>38100</xdr:rowOff>
    </xdr:from>
    <xdr:to>
      <xdr:col>6</xdr:col>
      <xdr:colOff>200025</xdr:colOff>
      <xdr:row>66</xdr:row>
      <xdr:rowOff>9525</xdr:rowOff>
    </xdr:to>
    <xdr:sp>
      <xdr:nvSpPr>
        <xdr:cNvPr id="2" name="TextBox 14">
          <a:hlinkClick r:id="rId2"/>
        </xdr:cNvPr>
        <xdr:cNvSpPr txBox="1">
          <a:spLocks noChangeArrowheads="1"/>
        </xdr:cNvSpPr>
      </xdr:nvSpPr>
      <xdr:spPr>
        <a:xfrm>
          <a:off x="2752725" y="3705225"/>
          <a:ext cx="123825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PROCEED TO ESTIMATE PROBABILITIES</a:t>
          </a:r>
        </a:p>
      </xdr:txBody>
    </xdr:sp>
    <xdr:clientData/>
  </xdr:twoCellAnchor>
  <xdr:twoCellAnchor>
    <xdr:from>
      <xdr:col>8</xdr:col>
      <xdr:colOff>47625</xdr:colOff>
      <xdr:row>64</xdr:row>
      <xdr:rowOff>38100</xdr:rowOff>
    </xdr:from>
    <xdr:to>
      <xdr:col>9</xdr:col>
      <xdr:colOff>114300</xdr:colOff>
      <xdr:row>65</xdr:row>
      <xdr:rowOff>152400</xdr:rowOff>
    </xdr:to>
    <xdr:sp>
      <xdr:nvSpPr>
        <xdr:cNvPr id="3" name="TextBox 15">
          <a:hlinkClick r:id="rId3"/>
        </xdr:cNvPr>
        <xdr:cNvSpPr txBox="1">
          <a:spLocks noChangeArrowheads="1"/>
        </xdr:cNvSpPr>
      </xdr:nvSpPr>
      <xdr:spPr>
        <a:xfrm>
          <a:off x="5457825" y="4029075"/>
          <a:ext cx="6762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9525</xdr:rowOff>
    </xdr:from>
    <xdr:to>
      <xdr:col>34</xdr:col>
      <xdr:colOff>600075</xdr:colOff>
      <xdr:row>28</xdr:row>
      <xdr:rowOff>0</xdr:rowOff>
    </xdr:to>
    <xdr:graphicFrame>
      <xdr:nvGraphicFramePr>
        <xdr:cNvPr id="1" name="Chart 18"/>
        <xdr:cNvGraphicFramePr/>
      </xdr:nvGraphicFramePr>
      <xdr:xfrm>
        <a:off x="4286250" y="333375"/>
        <a:ext cx="6086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29</xdr:row>
      <xdr:rowOff>104775</xdr:rowOff>
    </xdr:from>
    <xdr:to>
      <xdr:col>26</xdr:col>
      <xdr:colOff>85725</xdr:colOff>
      <xdr:row>40</xdr:row>
      <xdr:rowOff>57150</xdr:rowOff>
    </xdr:to>
    <xdr:sp>
      <xdr:nvSpPr>
        <xdr:cNvPr id="2" name="TextBox 19">
          <a:hlinkClick r:id="rId2"/>
        </xdr:cNvPr>
        <xdr:cNvSpPr txBox="1">
          <a:spLocks noChangeArrowheads="1"/>
        </xdr:cNvSpPr>
      </xdr:nvSpPr>
      <xdr:spPr>
        <a:xfrm>
          <a:off x="4305300" y="5276850"/>
          <a:ext cx="6762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0</xdr:col>
      <xdr:colOff>847725</xdr:colOff>
      <xdr:row>29</xdr:row>
      <xdr:rowOff>47625</xdr:rowOff>
    </xdr:from>
    <xdr:to>
      <xdr:col>1</xdr:col>
      <xdr:colOff>400050</xdr:colOff>
      <xdr:row>40</xdr:row>
      <xdr:rowOff>123825</xdr:rowOff>
    </xdr:to>
    <xdr:sp>
      <xdr:nvSpPr>
        <xdr:cNvPr id="3" name="TextBox 20">
          <a:hlinkClick r:id="rId3"/>
        </xdr:cNvPr>
        <xdr:cNvSpPr txBox="1">
          <a:spLocks noChangeArrowheads="1"/>
        </xdr:cNvSpPr>
      </xdr:nvSpPr>
      <xdr:spPr>
        <a:xfrm>
          <a:off x="847725" y="5219700"/>
          <a:ext cx="123825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VIEW DECISION TREE ANALYSIS</a:t>
          </a:r>
        </a:p>
      </xdr:txBody>
    </xdr:sp>
    <xdr:clientData/>
  </xdr:twoCellAnchor>
  <xdr:twoCellAnchor>
    <xdr:from>
      <xdr:col>1</xdr:col>
      <xdr:colOff>847725</xdr:colOff>
      <xdr:row>29</xdr:row>
      <xdr:rowOff>47625</xdr:rowOff>
    </xdr:from>
    <xdr:to>
      <xdr:col>3</xdr:col>
      <xdr:colOff>95250</xdr:colOff>
      <xdr:row>40</xdr:row>
      <xdr:rowOff>123825</xdr:rowOff>
    </xdr:to>
    <xdr:sp>
      <xdr:nvSpPr>
        <xdr:cNvPr id="4" name="TextBox 21">
          <a:hlinkClick r:id="rId4"/>
        </xdr:cNvPr>
        <xdr:cNvSpPr txBox="1">
          <a:spLocks noChangeArrowheads="1"/>
        </xdr:cNvSpPr>
      </xdr:nvSpPr>
      <xdr:spPr>
        <a:xfrm>
          <a:off x="2533650" y="5219700"/>
          <a:ext cx="123825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BEGIN NEW ESTIMATION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0</xdr:rowOff>
    </xdr:from>
    <xdr:to>
      <xdr:col>1</xdr:col>
      <xdr:colOff>161925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2771775"/>
          <a:ext cx="7620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152400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24025" y="3962400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66675</xdr:rowOff>
    </xdr:from>
    <xdr:to>
      <xdr:col>6</xdr:col>
      <xdr:colOff>95250</xdr:colOff>
      <xdr:row>12</xdr:row>
      <xdr:rowOff>95250</xdr:rowOff>
    </xdr:to>
    <xdr:sp>
      <xdr:nvSpPr>
        <xdr:cNvPr id="3" name="Oval 3"/>
        <xdr:cNvSpPr>
          <a:spLocks/>
        </xdr:cNvSpPr>
      </xdr:nvSpPr>
      <xdr:spPr>
        <a:xfrm>
          <a:off x="4229100" y="199072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66675</xdr:rowOff>
    </xdr:from>
    <xdr:to>
      <xdr:col>6</xdr:col>
      <xdr:colOff>95250</xdr:colOff>
      <xdr:row>16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219575" y="2667000"/>
          <a:ext cx="35242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38100</xdr:rowOff>
    </xdr:from>
    <xdr:to>
      <xdr:col>4</xdr:col>
      <xdr:colOff>114300</xdr:colOff>
      <xdr:row>19</xdr:row>
      <xdr:rowOff>85725</xdr:rowOff>
    </xdr:to>
    <xdr:sp>
      <xdr:nvSpPr>
        <xdr:cNvPr id="5" name="Oval 5"/>
        <xdr:cNvSpPr>
          <a:spLocks/>
        </xdr:cNvSpPr>
      </xdr:nvSpPr>
      <xdr:spPr>
        <a:xfrm>
          <a:off x="3019425" y="3143250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6" name="Oval 6"/>
        <xdr:cNvSpPr>
          <a:spLocks/>
        </xdr:cNvSpPr>
      </xdr:nvSpPr>
      <xdr:spPr>
        <a:xfrm>
          <a:off x="4219575" y="3343275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7" name="Oval 7"/>
        <xdr:cNvSpPr>
          <a:spLocks/>
        </xdr:cNvSpPr>
      </xdr:nvSpPr>
      <xdr:spPr>
        <a:xfrm>
          <a:off x="4219575" y="4019550"/>
          <a:ext cx="35242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38100</xdr:rowOff>
    </xdr:from>
    <xdr:to>
      <xdr:col>4</xdr:col>
      <xdr:colOff>95250</xdr:colOff>
      <xdr:row>32</xdr:row>
      <xdr:rowOff>95250</xdr:rowOff>
    </xdr:to>
    <xdr:sp>
      <xdr:nvSpPr>
        <xdr:cNvPr id="8" name="Oval 8"/>
        <xdr:cNvSpPr>
          <a:spLocks/>
        </xdr:cNvSpPr>
      </xdr:nvSpPr>
      <xdr:spPr>
        <a:xfrm>
          <a:off x="2981325" y="5314950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9" name="Oval 9"/>
        <xdr:cNvSpPr>
          <a:spLocks/>
        </xdr:cNvSpPr>
      </xdr:nvSpPr>
      <xdr:spPr>
        <a:xfrm>
          <a:off x="4229100" y="33432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4229100" y="40195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1" name="Oval 13"/>
        <xdr:cNvSpPr>
          <a:spLocks/>
        </xdr:cNvSpPr>
      </xdr:nvSpPr>
      <xdr:spPr>
        <a:xfrm>
          <a:off x="4229100" y="26670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229100" y="33432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4229100" y="40195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66675</xdr:rowOff>
    </xdr:from>
    <xdr:to>
      <xdr:col>6</xdr:col>
      <xdr:colOff>95250</xdr:colOff>
      <xdr:row>16</xdr:row>
      <xdr:rowOff>95250</xdr:rowOff>
    </xdr:to>
    <xdr:sp>
      <xdr:nvSpPr>
        <xdr:cNvPr id="14" name="Oval 16"/>
        <xdr:cNvSpPr>
          <a:spLocks/>
        </xdr:cNvSpPr>
      </xdr:nvSpPr>
      <xdr:spPr>
        <a:xfrm>
          <a:off x="4229100" y="266700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66675</xdr:rowOff>
    </xdr:from>
    <xdr:to>
      <xdr:col>6</xdr:col>
      <xdr:colOff>95250</xdr:colOff>
      <xdr:row>20</xdr:row>
      <xdr:rowOff>95250</xdr:rowOff>
    </xdr:to>
    <xdr:sp>
      <xdr:nvSpPr>
        <xdr:cNvPr id="15" name="Oval 17"/>
        <xdr:cNvSpPr>
          <a:spLocks/>
        </xdr:cNvSpPr>
      </xdr:nvSpPr>
      <xdr:spPr>
        <a:xfrm>
          <a:off x="4229100" y="3343275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66675</xdr:rowOff>
    </xdr:from>
    <xdr:to>
      <xdr:col>6</xdr:col>
      <xdr:colOff>95250</xdr:colOff>
      <xdr:row>24</xdr:row>
      <xdr:rowOff>95250</xdr:rowOff>
    </xdr:to>
    <xdr:sp>
      <xdr:nvSpPr>
        <xdr:cNvPr id="16" name="Oval 18"/>
        <xdr:cNvSpPr>
          <a:spLocks/>
        </xdr:cNvSpPr>
      </xdr:nvSpPr>
      <xdr:spPr>
        <a:xfrm>
          <a:off x="4229100" y="4019550"/>
          <a:ext cx="34290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809625</xdr:colOff>
      <xdr:row>12</xdr:row>
      <xdr:rowOff>0</xdr:rowOff>
    </xdr:from>
    <xdr:to>
      <xdr:col>17</xdr:col>
      <xdr:colOff>476250</xdr:colOff>
      <xdr:row>32</xdr:row>
      <xdr:rowOff>123825</xdr:rowOff>
    </xdr:to>
    <xdr:graphicFrame>
      <xdr:nvGraphicFramePr>
        <xdr:cNvPr id="17" name="Chart 20"/>
        <xdr:cNvGraphicFramePr/>
      </xdr:nvGraphicFramePr>
      <xdr:xfrm>
        <a:off x="6848475" y="2095500"/>
        <a:ext cx="5353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36</xdr:row>
      <xdr:rowOff>57150</xdr:rowOff>
    </xdr:from>
    <xdr:to>
      <xdr:col>5</xdr:col>
      <xdr:colOff>200025</xdr:colOff>
      <xdr:row>38</xdr:row>
      <xdr:rowOff>9525</xdr:rowOff>
    </xdr:to>
    <xdr:sp>
      <xdr:nvSpPr>
        <xdr:cNvPr id="18" name="TextBox 21">
          <a:hlinkClick r:id="rId2"/>
        </xdr:cNvPr>
        <xdr:cNvSpPr txBox="1">
          <a:spLocks noChangeArrowheads="1"/>
        </xdr:cNvSpPr>
      </xdr:nvSpPr>
      <xdr:spPr>
        <a:xfrm>
          <a:off x="3514725" y="6162675"/>
          <a:ext cx="6762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42"/>
  <sheetViews>
    <sheetView showGridLines="0" tabSelected="1" zoomScale="50" zoomScaleNormal="50" workbookViewId="0" topLeftCell="A1">
      <selection activeCell="A1" sqref="A1"/>
    </sheetView>
  </sheetViews>
  <sheetFormatPr defaultColWidth="9.140625" defaultRowHeight="12.75"/>
  <cols>
    <col min="1" max="5" width="9.140625" style="103" customWidth="1"/>
    <col min="6" max="6" width="20.8515625" style="103" bestFit="1" customWidth="1"/>
    <col min="7" max="7" width="12.28125" style="103" bestFit="1" customWidth="1"/>
    <col min="8" max="16384" width="9.140625" style="103" customWidth="1"/>
  </cols>
  <sheetData>
    <row r="2" spans="5:13" ht="45">
      <c r="E2" s="104" t="s">
        <v>42</v>
      </c>
      <c r="F2" s="104"/>
      <c r="G2" s="104"/>
      <c r="H2" s="104"/>
      <c r="I2" s="104"/>
      <c r="J2" s="104"/>
      <c r="K2" s="104"/>
      <c r="L2" s="104"/>
      <c r="M2" s="104"/>
    </row>
    <row r="3" spans="5:13" ht="45">
      <c r="E3" s="108"/>
      <c r="F3" s="108"/>
      <c r="G3" s="108"/>
      <c r="H3" s="108"/>
      <c r="I3" s="108"/>
      <c r="J3" s="108"/>
      <c r="K3" s="108"/>
      <c r="L3" s="108"/>
      <c r="M3" s="108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40" spans="4:16" ht="30.75">
      <c r="D40" s="105"/>
      <c r="E40" s="105"/>
      <c r="F40" s="106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2" spans="1:18" ht="35.25">
      <c r="A42" s="107" t="s">
        <v>43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</sheetData>
  <mergeCells count="2">
    <mergeCell ref="A42:R42"/>
    <mergeCell ref="E2:M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5"/>
  <sheetViews>
    <sheetView showGridLines="0" showRowColHeaders="0" workbookViewId="0" topLeftCell="F1">
      <selection activeCell="A1" sqref="A1"/>
    </sheetView>
  </sheetViews>
  <sheetFormatPr defaultColWidth="9.140625" defaultRowHeight="12.75"/>
  <cols>
    <col min="1" max="1" width="21.7109375" style="20" hidden="1" customWidth="1"/>
    <col min="2" max="2" width="23.8515625" style="20" hidden="1" customWidth="1"/>
    <col min="3" max="3" width="10.8515625" style="20" hidden="1" customWidth="1"/>
    <col min="4" max="5" width="0" style="20" hidden="1" customWidth="1"/>
    <col min="6" max="7" width="9.140625" style="20" customWidth="1"/>
    <col min="8" max="8" width="7.421875" style="20" customWidth="1"/>
    <col min="9" max="9" width="26.00390625" style="20" bestFit="1" customWidth="1"/>
    <col min="10" max="10" width="12.28125" style="20" bestFit="1" customWidth="1"/>
    <col min="11" max="16" width="9.140625" style="20" hidden="1" customWidth="1"/>
    <col min="17" max="17" width="15.00390625" style="20" hidden="1" customWidth="1"/>
    <col min="18" max="16384" width="9.140625" style="20" customWidth="1"/>
  </cols>
  <sheetData>
    <row r="1" spans="1:8" ht="12.75">
      <c r="A1" s="19"/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18" ht="15.75">
      <c r="A3" s="19"/>
      <c r="B3" s="19"/>
      <c r="C3" s="19"/>
      <c r="D3" s="19"/>
      <c r="E3" s="19"/>
      <c r="F3" s="19"/>
      <c r="G3" s="19"/>
      <c r="H3" s="19"/>
      <c r="I3" s="21" t="s">
        <v>44</v>
      </c>
      <c r="K3" s="22"/>
      <c r="L3" s="23">
        <v>40</v>
      </c>
      <c r="M3" s="23">
        <v>5</v>
      </c>
      <c r="N3" s="24">
        <v>1</v>
      </c>
      <c r="O3" s="24"/>
      <c r="P3" s="24"/>
      <c r="Q3" s="24"/>
      <c r="R3" s="24"/>
    </row>
    <row r="4" spans="1:17" ht="12.75" customHeight="1">
      <c r="A4" s="25" t="s">
        <v>0</v>
      </c>
      <c r="B4" s="19"/>
      <c r="C4" s="19"/>
      <c r="D4" s="19"/>
      <c r="E4" s="19"/>
      <c r="F4" s="19"/>
      <c r="G4" s="19"/>
      <c r="H4" s="19"/>
      <c r="O4" s="20" t="s">
        <v>22</v>
      </c>
      <c r="P4" s="20">
        <v>1</v>
      </c>
      <c r="Q4" s="26">
        <f>-PMT(J10/1200,J18*12,J8)</f>
        <v>21247.04471126835</v>
      </c>
    </row>
    <row r="5" spans="1:17" ht="12.75">
      <c r="A5" s="19"/>
      <c r="B5" s="19"/>
      <c r="C5" s="19"/>
      <c r="D5" s="19"/>
      <c r="E5" s="19"/>
      <c r="F5" s="19"/>
      <c r="G5" s="19"/>
      <c r="H5" s="19"/>
      <c r="O5" s="20" t="s">
        <v>26</v>
      </c>
      <c r="P5" s="20">
        <v>2</v>
      </c>
      <c r="Q5" s="26">
        <f>-PMT(J10/2400,J18*24,J8)</f>
        <v>10606.551523907494</v>
      </c>
    </row>
    <row r="6" spans="1:17" ht="12.75">
      <c r="A6" s="19"/>
      <c r="B6" s="19"/>
      <c r="C6" s="19"/>
      <c r="D6" s="19"/>
      <c r="E6" s="19"/>
      <c r="F6" s="19"/>
      <c r="G6" s="19"/>
      <c r="H6" s="19"/>
      <c r="I6" s="27" t="s">
        <v>41</v>
      </c>
      <c r="O6" s="20" t="s">
        <v>23</v>
      </c>
      <c r="P6" s="20">
        <v>3</v>
      </c>
      <c r="Q6" s="26">
        <f>-PMT(J10/5200,J18*52,J8)</f>
        <v>4891.109664690923</v>
      </c>
    </row>
    <row r="7" spans="1:8" ht="18.75" thickBot="1">
      <c r="A7" s="19"/>
      <c r="B7" s="28" t="s">
        <v>2</v>
      </c>
      <c r="C7" s="19"/>
      <c r="D7" s="19"/>
      <c r="E7" s="19"/>
      <c r="F7" s="19"/>
      <c r="G7" s="18"/>
      <c r="H7" s="19"/>
    </row>
    <row r="8" spans="1:16" ht="13.5" thickBot="1">
      <c r="A8" s="19"/>
      <c r="B8" s="19"/>
      <c r="C8" s="19"/>
      <c r="D8" s="19"/>
      <c r="E8" s="19"/>
      <c r="F8" s="19"/>
      <c r="G8" s="19"/>
      <c r="H8" s="19"/>
      <c r="I8" s="27" t="s">
        <v>45</v>
      </c>
      <c r="J8" s="17">
        <v>1000000</v>
      </c>
      <c r="M8" s="20">
        <v>1</v>
      </c>
      <c r="O8" s="20" t="s">
        <v>39</v>
      </c>
      <c r="P8" s="20">
        <v>1</v>
      </c>
    </row>
    <row r="9" spans="1:16" ht="12.75">
      <c r="A9" s="19"/>
      <c r="B9" s="29" t="s">
        <v>5</v>
      </c>
      <c r="C9" s="29" t="s">
        <v>6</v>
      </c>
      <c r="D9" s="19"/>
      <c r="E9" s="19"/>
      <c r="F9" s="19"/>
      <c r="G9" s="19"/>
      <c r="H9" s="19"/>
      <c r="O9" s="20" t="s">
        <v>40</v>
      </c>
      <c r="P9" s="20">
        <v>2</v>
      </c>
    </row>
    <row r="10" spans="1:10" ht="12.75">
      <c r="A10" s="19"/>
      <c r="B10" s="30">
        <v>0</v>
      </c>
      <c r="C10" s="31">
        <v>0.1</v>
      </c>
      <c r="D10" s="19"/>
      <c r="E10" s="19"/>
      <c r="F10" s="19"/>
      <c r="G10" s="19"/>
      <c r="H10" s="19"/>
      <c r="I10" s="27" t="s">
        <v>24</v>
      </c>
      <c r="J10" s="4">
        <f>L3/4</f>
        <v>10</v>
      </c>
    </row>
    <row r="11" spans="1:17" ht="12.75">
      <c r="A11" s="19"/>
      <c r="B11" s="30">
        <v>0.1</v>
      </c>
      <c r="C11" s="31">
        <v>0.5</v>
      </c>
      <c r="D11" s="19"/>
      <c r="E11" s="19"/>
      <c r="F11" s="19"/>
      <c r="G11" s="19"/>
      <c r="H11" s="19"/>
      <c r="J11" s="32"/>
      <c r="Q11" s="26"/>
    </row>
    <row r="12" spans="1:8" ht="12.75">
      <c r="A12" s="19"/>
      <c r="B12" s="30">
        <v>0.25</v>
      </c>
      <c r="C12" s="31">
        <v>0.3</v>
      </c>
      <c r="D12" s="19"/>
      <c r="E12" s="19"/>
      <c r="F12" s="19"/>
      <c r="G12" s="19"/>
      <c r="H12" s="19"/>
    </row>
    <row r="13" spans="1:8" ht="12.75">
      <c r="A13" s="19"/>
      <c r="B13" s="30">
        <v>1</v>
      </c>
      <c r="C13" s="31">
        <v>0.1</v>
      </c>
      <c r="D13" s="19"/>
      <c r="E13" s="19"/>
      <c r="F13" s="19"/>
      <c r="G13" s="19"/>
      <c r="H13" s="19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27" t="s">
        <v>25</v>
      </c>
    </row>
    <row r="15" spans="1:8" ht="12.75">
      <c r="A15" s="19"/>
      <c r="B15" s="29" t="s">
        <v>13</v>
      </c>
      <c r="C15" s="31">
        <f>SUM(C10:C13)</f>
        <v>0.9999999999999999</v>
      </c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/>
      <c r="B17" s="19"/>
      <c r="C17" s="19"/>
      <c r="D17" s="19"/>
      <c r="E17" s="19"/>
      <c r="F17" s="19"/>
      <c r="G17" s="19"/>
      <c r="H17" s="19"/>
    </row>
    <row r="18" spans="1:10" ht="18">
      <c r="A18" s="19"/>
      <c r="B18" s="28" t="s">
        <v>15</v>
      </c>
      <c r="C18" s="19"/>
      <c r="D18" s="19"/>
      <c r="E18" s="19"/>
      <c r="F18" s="19"/>
      <c r="G18" s="19"/>
      <c r="H18" s="19"/>
      <c r="I18" s="33" t="s">
        <v>21</v>
      </c>
      <c r="J18" s="6">
        <f>M3</f>
        <v>5</v>
      </c>
    </row>
    <row r="19" spans="1:8" ht="13.5" thickBot="1">
      <c r="A19" s="19"/>
      <c r="B19" s="19"/>
      <c r="C19" s="19"/>
      <c r="D19" s="19"/>
      <c r="E19" s="19"/>
      <c r="F19" s="19"/>
      <c r="G19" s="19"/>
      <c r="H19" s="19"/>
    </row>
    <row r="20" spans="1:10" ht="13.5" thickBot="1">
      <c r="A20" s="19"/>
      <c r="B20" s="29" t="s">
        <v>5</v>
      </c>
      <c r="C20" s="29" t="s">
        <v>6</v>
      </c>
      <c r="D20" s="19"/>
      <c r="E20" s="19"/>
      <c r="F20" s="19"/>
      <c r="G20" s="19"/>
      <c r="H20" s="19"/>
      <c r="I20" s="27" t="s">
        <v>46</v>
      </c>
      <c r="J20" s="2">
        <f>IF(M8=1,LOOKUP(N3,P4:P6,Q4:Q6),0)</f>
        <v>21247.04471126835</v>
      </c>
    </row>
    <row r="21" spans="1:8" ht="12.75">
      <c r="A21" s="19"/>
      <c r="B21" s="30">
        <v>0.05</v>
      </c>
      <c r="C21" s="31">
        <v>0.5</v>
      </c>
      <c r="D21" s="19"/>
      <c r="E21" s="19"/>
      <c r="F21" s="19"/>
      <c r="G21" s="19"/>
      <c r="H21" s="19"/>
    </row>
    <row r="22" spans="1:8" ht="12.75">
      <c r="A22" s="19"/>
      <c r="B22" s="30">
        <v>0.1</v>
      </c>
      <c r="C22" s="31">
        <v>0.4</v>
      </c>
      <c r="D22" s="19"/>
      <c r="E22" s="19"/>
      <c r="F22" s="19"/>
      <c r="G22" s="19"/>
      <c r="H22" s="19"/>
    </row>
    <row r="23" spans="1:8" ht="12.75">
      <c r="A23" s="19"/>
      <c r="B23" s="30">
        <v>0</v>
      </c>
      <c r="C23" s="31">
        <v>0.1</v>
      </c>
      <c r="D23" s="19"/>
      <c r="E23" s="19"/>
      <c r="F23" s="19"/>
      <c r="G23" s="19"/>
      <c r="H23" s="19"/>
    </row>
    <row r="24" spans="1:8" ht="12.75">
      <c r="A24" s="19"/>
      <c r="B24" s="19"/>
      <c r="C24" s="19"/>
      <c r="D24" s="19"/>
      <c r="E24" s="19"/>
      <c r="F24" s="19"/>
      <c r="G24" s="19"/>
      <c r="H24" s="19"/>
    </row>
    <row r="25" spans="1:13" ht="12.75">
      <c r="A25" s="19"/>
      <c r="B25" s="29" t="s">
        <v>13</v>
      </c>
      <c r="C25" s="31">
        <f>SUM(C21:C23)</f>
        <v>1</v>
      </c>
      <c r="D25" s="19"/>
      <c r="E25" s="19"/>
      <c r="F25" s="19"/>
      <c r="G25" s="19"/>
      <c r="H25" s="19"/>
      <c r="K25" s="20">
        <v>40</v>
      </c>
      <c r="L25" s="20">
        <v>5</v>
      </c>
      <c r="M25" s="20">
        <v>1</v>
      </c>
    </row>
    <row r="26" spans="1:8" ht="12.75">
      <c r="A26" s="19"/>
      <c r="B26" s="19"/>
      <c r="C26" s="19"/>
      <c r="D26" s="19"/>
      <c r="E26" s="19"/>
      <c r="F26" s="19"/>
      <c r="G26" s="19"/>
      <c r="H26" s="19"/>
    </row>
    <row r="27" spans="1:10" ht="12.75" hidden="1">
      <c r="A27" s="19"/>
      <c r="B27" s="19"/>
      <c r="C27" s="19"/>
      <c r="D27" s="19"/>
      <c r="E27" s="19"/>
      <c r="F27" s="19"/>
      <c r="G27" s="19"/>
      <c r="H27" s="19"/>
      <c r="I27" s="20" t="s">
        <v>28</v>
      </c>
      <c r="J27" s="34">
        <f>440000</f>
        <v>440000</v>
      </c>
    </row>
    <row r="28" spans="1:8" ht="18" hidden="1">
      <c r="A28" s="19"/>
      <c r="B28" s="28" t="s">
        <v>19</v>
      </c>
      <c r="C28" s="30">
        <v>0.05</v>
      </c>
      <c r="D28" s="19"/>
      <c r="E28" s="19"/>
      <c r="F28" s="19"/>
      <c r="G28" s="19"/>
      <c r="H28" s="19"/>
    </row>
    <row r="29" spans="1:10" ht="12.75" hidden="1">
      <c r="A29" s="19"/>
      <c r="B29" s="19"/>
      <c r="C29" s="19"/>
      <c r="D29" s="19"/>
      <c r="E29" s="19"/>
      <c r="F29" s="19"/>
      <c r="G29" s="19"/>
      <c r="H29" s="19"/>
      <c r="I29" s="20" t="s">
        <v>24</v>
      </c>
      <c r="J29" s="35">
        <f>K25/4</f>
        <v>10</v>
      </c>
    </row>
    <row r="30" spans="1:17" ht="12.75" hidden="1">
      <c r="A30" s="19"/>
      <c r="B30" s="19"/>
      <c r="C30" s="19"/>
      <c r="D30" s="19"/>
      <c r="E30" s="19"/>
      <c r="F30" s="19"/>
      <c r="G30" s="19"/>
      <c r="H30" s="19"/>
      <c r="J30" s="32"/>
      <c r="O30" s="20" t="s">
        <v>22</v>
      </c>
      <c r="P30" s="20">
        <v>1</v>
      </c>
      <c r="Q30" s="26">
        <f>-PMT(J29/1200,J37*12,J27,0)</f>
        <v>9348.699672958073</v>
      </c>
    </row>
    <row r="31" spans="1:17" ht="12.75" hidden="1">
      <c r="A31" s="19"/>
      <c r="B31" s="19" t="s">
        <v>1</v>
      </c>
      <c r="C31" s="36">
        <v>22800</v>
      </c>
      <c r="D31" s="19"/>
      <c r="E31" s="19"/>
      <c r="F31" s="19"/>
      <c r="G31" s="19"/>
      <c r="H31" s="19"/>
      <c r="O31" s="20" t="s">
        <v>26</v>
      </c>
      <c r="P31" s="20">
        <v>2</v>
      </c>
      <c r="Q31" s="26">
        <f>-PMT(J29/2400,J37*24,J27,0)</f>
        <v>4666.882670519297</v>
      </c>
    </row>
    <row r="32" spans="1:17" ht="12.75" hidden="1">
      <c r="A32" s="19"/>
      <c r="B32" s="19" t="s">
        <v>3</v>
      </c>
      <c r="C32" s="36">
        <v>28000</v>
      </c>
      <c r="D32" s="19"/>
      <c r="E32" s="19"/>
      <c r="F32" s="19"/>
      <c r="G32" s="19"/>
      <c r="H32" s="19"/>
      <c r="O32" s="20" t="s">
        <v>23</v>
      </c>
      <c r="P32" s="20">
        <v>3</v>
      </c>
      <c r="Q32" s="26">
        <f>-PMT(J29/5200,J37*52,J27,0)</f>
        <v>2152.088252464006</v>
      </c>
    </row>
    <row r="33" spans="1:9" ht="12.75" hidden="1">
      <c r="A33" s="19"/>
      <c r="B33" s="19"/>
      <c r="C33" s="19"/>
      <c r="D33" s="19"/>
      <c r="E33" s="19"/>
      <c r="F33" s="19"/>
      <c r="G33" s="19"/>
      <c r="H33" s="19"/>
      <c r="I33" s="20" t="s">
        <v>25</v>
      </c>
    </row>
    <row r="34" spans="1:8" ht="12.75" hidden="1">
      <c r="A34" s="19"/>
      <c r="B34" s="19" t="s">
        <v>8</v>
      </c>
      <c r="C34" s="36">
        <f>J20</f>
        <v>21247.04471126835</v>
      </c>
      <c r="D34" s="19"/>
      <c r="E34" s="19"/>
      <c r="F34" s="19"/>
      <c r="G34" s="19"/>
      <c r="H34" s="19"/>
    </row>
    <row r="35" spans="1:8" ht="12.75" hidden="1">
      <c r="A35" s="19"/>
      <c r="B35" s="19" t="s">
        <v>9</v>
      </c>
      <c r="C35" s="36">
        <f>J39</f>
        <v>9348.699672958073</v>
      </c>
      <c r="D35" s="19"/>
      <c r="E35" s="19"/>
      <c r="F35" s="19"/>
      <c r="G35" s="19"/>
      <c r="H35" s="19"/>
    </row>
    <row r="36" spans="1:8" ht="12.75" hidden="1">
      <c r="A36" s="19"/>
      <c r="B36" s="19" t="s">
        <v>10</v>
      </c>
      <c r="C36" s="36">
        <f>J55</f>
        <v>4184.647750465213</v>
      </c>
      <c r="D36" s="19"/>
      <c r="E36" s="19"/>
      <c r="F36" s="19"/>
      <c r="G36" s="19"/>
      <c r="H36" s="19"/>
    </row>
    <row r="37" spans="1:10" ht="12.75" hidden="1">
      <c r="A37" s="19"/>
      <c r="B37" s="19"/>
      <c r="C37" s="19"/>
      <c r="D37" s="19"/>
      <c r="E37" s="19"/>
      <c r="F37" s="19"/>
      <c r="G37" s="19"/>
      <c r="H37" s="19"/>
      <c r="I37" s="20" t="s">
        <v>21</v>
      </c>
      <c r="J37" s="20">
        <f>L25</f>
        <v>5</v>
      </c>
    </row>
    <row r="38" spans="1:8" ht="12.75" hidden="1">
      <c r="A38" s="19"/>
      <c r="B38" s="19" t="s">
        <v>11</v>
      </c>
      <c r="C38" s="36">
        <v>2400</v>
      </c>
      <c r="D38" s="19"/>
      <c r="E38" s="19"/>
      <c r="F38" s="19"/>
      <c r="G38" s="19"/>
      <c r="H38" s="19"/>
    </row>
    <row r="39" spans="1:10" ht="12.75" hidden="1">
      <c r="A39" s="19"/>
      <c r="B39" s="19" t="s">
        <v>12</v>
      </c>
      <c r="C39" s="36">
        <v>800</v>
      </c>
      <c r="D39" s="19"/>
      <c r="E39" s="19"/>
      <c r="F39" s="19"/>
      <c r="G39" s="19"/>
      <c r="H39" s="19"/>
      <c r="I39" s="20" t="s">
        <v>31</v>
      </c>
      <c r="J39" s="34">
        <f>IF(M8=1,LOOKUP(M25,P30:P32,Q30:Q32),0)</f>
        <v>9348.699672958073</v>
      </c>
    </row>
    <row r="40" spans="1:8" ht="12.75" hidden="1">
      <c r="A40" s="19"/>
      <c r="B40" s="19"/>
      <c r="C40" s="19"/>
      <c r="D40" s="19"/>
      <c r="E40" s="19"/>
      <c r="F40" s="19"/>
      <c r="G40" s="19"/>
      <c r="H40" s="19"/>
    </row>
    <row r="41" spans="1:13" ht="12.75" hidden="1">
      <c r="A41" s="19"/>
      <c r="B41" s="19"/>
      <c r="C41" s="19"/>
      <c r="D41" s="19"/>
      <c r="E41" s="19"/>
      <c r="F41" s="19"/>
      <c r="G41" s="19"/>
      <c r="H41" s="19"/>
      <c r="K41" s="20">
        <v>39</v>
      </c>
      <c r="L41" s="20">
        <v>10</v>
      </c>
      <c r="M41" s="20">
        <v>1</v>
      </c>
    </row>
    <row r="42" spans="1:8" ht="12.75" hidden="1">
      <c r="A42" s="19"/>
      <c r="B42" s="19"/>
      <c r="C42" s="19"/>
      <c r="D42" s="19"/>
      <c r="E42" s="19"/>
      <c r="F42" s="19"/>
      <c r="G42" s="19"/>
      <c r="H42" s="19"/>
    </row>
    <row r="43" spans="1:10" ht="12.75" hidden="1">
      <c r="A43" s="19"/>
      <c r="B43" s="19"/>
      <c r="C43" s="19"/>
      <c r="D43" s="19"/>
      <c r="E43" s="19"/>
      <c r="F43" s="19"/>
      <c r="G43" s="19"/>
      <c r="H43" s="19"/>
      <c r="I43" s="20" t="s">
        <v>29</v>
      </c>
      <c r="J43" s="34">
        <f>320000</f>
        <v>320000</v>
      </c>
    </row>
    <row r="44" spans="1:8" ht="12.75" hidden="1">
      <c r="A44" s="19"/>
      <c r="B44" s="19"/>
      <c r="C44" s="19"/>
      <c r="D44" s="19"/>
      <c r="E44" s="19"/>
      <c r="F44" s="19"/>
      <c r="G44" s="19"/>
      <c r="H44" s="19"/>
    </row>
    <row r="45" spans="1:10" ht="12.75" hidden="1">
      <c r="A45" s="19"/>
      <c r="B45" s="19"/>
      <c r="C45" s="19"/>
      <c r="D45" s="19"/>
      <c r="E45" s="19"/>
      <c r="F45" s="19"/>
      <c r="G45" s="19"/>
      <c r="H45" s="19"/>
      <c r="I45" s="20" t="s">
        <v>24</v>
      </c>
      <c r="J45" s="35">
        <f>K41/4</f>
        <v>9.75</v>
      </c>
    </row>
    <row r="46" spans="1:17" ht="12.75" hidden="1">
      <c r="A46" s="19"/>
      <c r="B46" s="19"/>
      <c r="C46" s="19"/>
      <c r="D46" s="19"/>
      <c r="E46" s="19"/>
      <c r="F46" s="19"/>
      <c r="G46" s="19"/>
      <c r="H46" s="19"/>
      <c r="J46" s="32"/>
      <c r="O46" s="20" t="s">
        <v>22</v>
      </c>
      <c r="P46" s="20">
        <v>1</v>
      </c>
      <c r="Q46" s="26">
        <f>-PMT(J45/1200,J53*12,J43,0)</f>
        <v>4184.647750465213</v>
      </c>
    </row>
    <row r="47" spans="1:17" ht="12.75" hidden="1">
      <c r="A47" s="19"/>
      <c r="B47" s="19"/>
      <c r="C47" s="19"/>
      <c r="D47" s="19"/>
      <c r="E47" s="19"/>
      <c r="F47" s="19"/>
      <c r="G47" s="19"/>
      <c r="H47" s="19"/>
      <c r="O47" s="20" t="s">
        <v>26</v>
      </c>
      <c r="P47" s="20">
        <v>2</v>
      </c>
      <c r="Q47" s="26">
        <f>-PMT(J45/2400,J53*24,J43,0)</f>
        <v>2089.8241476978387</v>
      </c>
    </row>
    <row r="48" spans="15:17" ht="12.75" hidden="1">
      <c r="O48" s="20" t="s">
        <v>23</v>
      </c>
      <c r="P48" s="20">
        <v>3</v>
      </c>
      <c r="Q48" s="26">
        <f>-PMT(J45/5200,J53*52,J43,0)</f>
        <v>963.9124943044555</v>
      </c>
    </row>
    <row r="49" ht="12.75" hidden="1">
      <c r="I49" s="20" t="s">
        <v>25</v>
      </c>
    </row>
    <row r="50" ht="12.75" hidden="1"/>
    <row r="51" ht="12.75" hidden="1"/>
    <row r="52" ht="12.75" hidden="1"/>
    <row r="53" spans="9:10" ht="12.75" hidden="1">
      <c r="I53" s="20" t="s">
        <v>21</v>
      </c>
      <c r="J53" s="20">
        <f>L41</f>
        <v>10</v>
      </c>
    </row>
    <row r="54" ht="12.75" hidden="1"/>
    <row r="55" spans="9:10" ht="12.75" hidden="1">
      <c r="I55" s="20" t="s">
        <v>32</v>
      </c>
      <c r="J55" s="34">
        <f>IF(M8=1,LOOKUP(M41,P46:P48,Q46:Q48),0)</f>
        <v>4184.647750465213</v>
      </c>
    </row>
    <row r="56" ht="12.75" hidden="1"/>
    <row r="57" ht="12.75" hidden="1"/>
    <row r="58" ht="12.75" hidden="1"/>
    <row r="59" ht="12.75"/>
    <row r="60" ht="12.75"/>
  </sheetData>
  <conditionalFormatting sqref="C15 C25">
    <cfRule type="cellIs" priority="1" dxfId="0" operator="notEqual" stopIfTrue="1">
      <formula>1</formula>
    </cfRule>
  </conditionalFormatting>
  <dataValidations count="1">
    <dataValidation operator="equal" allowBlank="1" showInputMessage="1" showErrorMessage="1" errorTitle="Error" error="Probabilities should add up to 1" sqref="C15 C25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R56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21.7109375" style="20" hidden="1" customWidth="1"/>
    <col min="2" max="2" width="23.8515625" style="20" hidden="1" customWidth="1"/>
    <col min="3" max="3" width="10.8515625" style="20" hidden="1" customWidth="1"/>
    <col min="4" max="4" width="0" style="20" hidden="1" customWidth="1"/>
    <col min="5" max="6" width="9.140625" style="20" customWidth="1"/>
    <col min="7" max="7" width="5.7109375" style="20" customWidth="1"/>
    <col min="8" max="8" width="9.140625" style="20" hidden="1" customWidth="1"/>
    <col min="9" max="9" width="34.8515625" style="20" bestFit="1" customWidth="1"/>
    <col min="10" max="10" width="15.140625" style="20" bestFit="1" customWidth="1"/>
    <col min="11" max="16" width="0" style="20" hidden="1" customWidth="1"/>
    <col min="17" max="17" width="15.00390625" style="20" hidden="1" customWidth="1"/>
    <col min="18" max="16384" width="9.140625" style="20" customWidth="1"/>
  </cols>
  <sheetData>
    <row r="1" ht="21.75" customHeight="1"/>
    <row r="2" spans="9:18" ht="15.75">
      <c r="I2" s="98" t="s">
        <v>48</v>
      </c>
      <c r="J2" s="98"/>
      <c r="K2" s="37"/>
      <c r="L2" s="37"/>
      <c r="M2" s="37"/>
      <c r="N2" s="37"/>
      <c r="O2" s="37"/>
      <c r="P2" s="37"/>
      <c r="Q2" s="37"/>
      <c r="R2" s="37"/>
    </row>
    <row r="3" ht="12.75"/>
    <row r="4" spans="9:13" ht="12.75">
      <c r="I4" s="27" t="s">
        <v>41</v>
      </c>
      <c r="K4" s="38">
        <v>40</v>
      </c>
      <c r="L4" s="38">
        <v>6</v>
      </c>
      <c r="M4" s="20">
        <v>1</v>
      </c>
    </row>
    <row r="5" spans="1:17" ht="25.5" hidden="1">
      <c r="A5" s="39" t="s">
        <v>0</v>
      </c>
      <c r="O5" s="20" t="s">
        <v>22</v>
      </c>
      <c r="P5" s="20">
        <v>1</v>
      </c>
      <c r="Q5" s="26">
        <f>-PMT(J11/1200,J19*12,J9)</f>
        <v>18525.837775770542</v>
      </c>
    </row>
    <row r="6" spans="15:17" ht="12.75" hidden="1">
      <c r="O6" s="20" t="s">
        <v>26</v>
      </c>
      <c r="P6" s="20">
        <v>2</v>
      </c>
      <c r="Q6" s="26">
        <f>-PMT(J11/2400,J19*24,J9)</f>
        <v>9248.904135698498</v>
      </c>
    </row>
    <row r="7" spans="9:17" ht="12.75" hidden="1">
      <c r="I7" s="20" t="s">
        <v>41</v>
      </c>
      <c r="O7" s="20" t="s">
        <v>23</v>
      </c>
      <c r="P7" s="20">
        <v>3</v>
      </c>
      <c r="Q7" s="26">
        <f>-PMT(J11/5200,J19*52,J9)</f>
        <v>4265.238657724773</v>
      </c>
    </row>
    <row r="8" ht="18" hidden="1">
      <c r="B8" s="40" t="s">
        <v>2</v>
      </c>
    </row>
    <row r="9" spans="9:16" ht="12.75" hidden="1">
      <c r="I9" s="20" t="s">
        <v>27</v>
      </c>
      <c r="J9" s="41">
        <v>1000000</v>
      </c>
      <c r="M9" s="20">
        <v>1</v>
      </c>
      <c r="O9" s="20" t="s">
        <v>39</v>
      </c>
      <c r="P9" s="20">
        <v>1</v>
      </c>
    </row>
    <row r="10" spans="2:16" ht="12.75" hidden="1">
      <c r="B10" s="27" t="s">
        <v>5</v>
      </c>
      <c r="C10" s="27" t="s">
        <v>6</v>
      </c>
      <c r="O10" s="20" t="s">
        <v>40</v>
      </c>
      <c r="P10" s="20">
        <v>2</v>
      </c>
    </row>
    <row r="11" spans="2:10" ht="12.75" hidden="1">
      <c r="B11" s="42">
        <v>0</v>
      </c>
      <c r="C11" s="24">
        <v>0.1</v>
      </c>
      <c r="I11" s="20" t="s">
        <v>24</v>
      </c>
      <c r="J11" s="38">
        <f>K4/4</f>
        <v>10</v>
      </c>
    </row>
    <row r="12" spans="2:17" ht="12.75" hidden="1">
      <c r="B12" s="42">
        <v>0.1</v>
      </c>
      <c r="C12" s="24">
        <v>0.5</v>
      </c>
      <c r="J12" s="43"/>
      <c r="Q12" s="26"/>
    </row>
    <row r="13" spans="2:3" ht="12.75" hidden="1">
      <c r="B13" s="42">
        <v>0.25</v>
      </c>
      <c r="C13" s="24">
        <v>0.3</v>
      </c>
    </row>
    <row r="14" spans="2:3" ht="12.75" hidden="1">
      <c r="B14" s="42">
        <v>1</v>
      </c>
      <c r="C14" s="24">
        <v>0.1</v>
      </c>
    </row>
    <row r="15" ht="12.75" hidden="1">
      <c r="I15" s="20" t="s">
        <v>25</v>
      </c>
    </row>
    <row r="16" spans="2:3" ht="12.75" hidden="1">
      <c r="B16" s="27" t="s">
        <v>13</v>
      </c>
      <c r="C16" s="24">
        <f>SUM(C11:C14)</f>
        <v>0.9999999999999999</v>
      </c>
    </row>
    <row r="17" ht="12.75" hidden="1"/>
    <row r="18" ht="12.75" hidden="1"/>
    <row r="19" spans="2:10" ht="18" hidden="1">
      <c r="B19" s="40" t="s">
        <v>15</v>
      </c>
      <c r="I19" s="20" t="s">
        <v>21</v>
      </c>
      <c r="J19" s="20">
        <f>L4</f>
        <v>6</v>
      </c>
    </row>
    <row r="20" ht="12.75" hidden="1"/>
    <row r="21" spans="2:10" ht="12.75" hidden="1">
      <c r="B21" s="27" t="s">
        <v>5</v>
      </c>
      <c r="C21" s="27" t="s">
        <v>6</v>
      </c>
      <c r="I21" s="20" t="s">
        <v>30</v>
      </c>
      <c r="J21" s="44">
        <f>IF(M9=1,LOOKUP(M4,P5:P7,Q5:Q7),0)</f>
        <v>18525.837775770542</v>
      </c>
    </row>
    <row r="22" spans="2:3" ht="12.75" hidden="1">
      <c r="B22" s="42">
        <v>0.05</v>
      </c>
      <c r="C22" s="24">
        <v>0.5</v>
      </c>
    </row>
    <row r="23" spans="2:3" ht="12.75" hidden="1">
      <c r="B23" s="42">
        <v>0.1</v>
      </c>
      <c r="C23" s="24">
        <v>0.4</v>
      </c>
    </row>
    <row r="24" spans="2:3" ht="12.75" hidden="1">
      <c r="B24" s="42">
        <v>0</v>
      </c>
      <c r="C24" s="24">
        <v>0.1</v>
      </c>
    </row>
    <row r="25" ht="12.75" hidden="1"/>
    <row r="26" spans="2:13" ht="12.75" hidden="1">
      <c r="B26" s="27" t="s">
        <v>13</v>
      </c>
      <c r="C26" s="24">
        <f>SUM(C22:C24)</f>
        <v>1</v>
      </c>
      <c r="K26" s="20">
        <v>40</v>
      </c>
      <c r="L26" s="20">
        <v>5</v>
      </c>
      <c r="M26" s="20">
        <v>1</v>
      </c>
    </row>
    <row r="27" ht="12.75"/>
    <row r="28" spans="9:10" ht="12.75">
      <c r="I28" s="27" t="s">
        <v>45</v>
      </c>
      <c r="J28" s="3">
        <f>440000</f>
        <v>440000</v>
      </c>
    </row>
    <row r="29" spans="2:9" ht="18">
      <c r="B29" s="40" t="s">
        <v>19</v>
      </c>
      <c r="C29" s="42">
        <v>0.05</v>
      </c>
      <c r="I29" s="27"/>
    </row>
    <row r="30" spans="9:10" ht="12.75">
      <c r="I30" s="27" t="s">
        <v>24</v>
      </c>
      <c r="J30" s="7">
        <f>K26/4</f>
        <v>10</v>
      </c>
    </row>
    <row r="31" spans="9:17" ht="12.75">
      <c r="I31" s="27"/>
      <c r="J31" s="43"/>
      <c r="O31" s="20" t="s">
        <v>22</v>
      </c>
      <c r="P31" s="20">
        <v>1</v>
      </c>
      <c r="Q31" s="26">
        <f>-PMT(J30/1200,J38*12,J28,0)</f>
        <v>9348.699672958073</v>
      </c>
    </row>
    <row r="32" spans="2:17" ht="12.75">
      <c r="B32" s="20" t="s">
        <v>1</v>
      </c>
      <c r="C32" s="45">
        <v>22800</v>
      </c>
      <c r="I32" s="27"/>
      <c r="O32" s="20" t="s">
        <v>26</v>
      </c>
      <c r="P32" s="20">
        <v>2</v>
      </c>
      <c r="Q32" s="26">
        <f>-PMT(J30/2400,J38*24,J28,0)</f>
        <v>4666.882670519297</v>
      </c>
    </row>
    <row r="33" spans="2:17" ht="12.75">
      <c r="B33" s="20" t="s">
        <v>3</v>
      </c>
      <c r="C33" s="45">
        <v>28000</v>
      </c>
      <c r="I33" s="27"/>
      <c r="O33" s="20" t="s">
        <v>23</v>
      </c>
      <c r="P33" s="20">
        <v>3</v>
      </c>
      <c r="Q33" s="26">
        <f>-PMT(J30/5200,J38*52,J28,0)</f>
        <v>2152.088252464006</v>
      </c>
    </row>
    <row r="34" ht="12.75">
      <c r="I34" s="27" t="s">
        <v>25</v>
      </c>
    </row>
    <row r="35" spans="2:9" ht="12.75">
      <c r="B35" s="20" t="s">
        <v>8</v>
      </c>
      <c r="C35" s="45">
        <f>J21</f>
        <v>18525.837775770542</v>
      </c>
      <c r="I35" s="27"/>
    </row>
    <row r="36" spans="2:10" ht="12.75">
      <c r="B36" s="20" t="s">
        <v>9</v>
      </c>
      <c r="C36" s="45">
        <f>J40</f>
        <v>9348.699672958073</v>
      </c>
      <c r="I36" s="27" t="s">
        <v>50</v>
      </c>
      <c r="J36" s="9">
        <v>2400</v>
      </c>
    </row>
    <row r="37" spans="2:9" ht="12.75">
      <c r="B37" s="20" t="s">
        <v>10</v>
      </c>
      <c r="C37" s="45">
        <f>J56</f>
        <v>4228.8235802163845</v>
      </c>
      <c r="I37" s="27"/>
    </row>
    <row r="38" spans="9:10" ht="12.75">
      <c r="I38" s="27" t="s">
        <v>21</v>
      </c>
      <c r="J38" s="5">
        <f>L26</f>
        <v>5</v>
      </c>
    </row>
    <row r="39" spans="2:9" ht="13.5" thickBot="1">
      <c r="B39" s="20" t="s">
        <v>11</v>
      </c>
      <c r="C39" s="45">
        <v>2400</v>
      </c>
      <c r="I39" s="27"/>
    </row>
    <row r="40" spans="2:10" ht="13.5" thickBot="1">
      <c r="B40" s="20" t="s">
        <v>12</v>
      </c>
      <c r="C40" s="45">
        <v>800</v>
      </c>
      <c r="I40" s="27" t="s">
        <v>47</v>
      </c>
      <c r="J40" s="1">
        <f>IF(M9=1,LOOKUP(M26,P31:P33,Q31:Q33),0)</f>
        <v>9348.699672958073</v>
      </c>
    </row>
    <row r="41" ht="12.75"/>
    <row r="42" spans="11:13" ht="12.75" hidden="1">
      <c r="K42" s="20">
        <v>40</v>
      </c>
      <c r="L42" s="20">
        <v>10</v>
      </c>
      <c r="M42" s="20">
        <v>1</v>
      </c>
    </row>
    <row r="43" ht="12.75" hidden="1"/>
    <row r="44" spans="9:10" ht="12.75" hidden="1">
      <c r="I44" s="20" t="s">
        <v>29</v>
      </c>
      <c r="J44" s="44">
        <f>320000</f>
        <v>320000</v>
      </c>
    </row>
    <row r="45" ht="12.75" hidden="1"/>
    <row r="46" spans="9:10" ht="12.75" hidden="1">
      <c r="I46" s="20" t="s">
        <v>24</v>
      </c>
      <c r="J46" s="38">
        <f>K42/4</f>
        <v>10</v>
      </c>
    </row>
    <row r="47" spans="10:17" ht="12.75" hidden="1">
      <c r="J47" s="43"/>
      <c r="O47" s="20" t="s">
        <v>22</v>
      </c>
      <c r="P47" s="20">
        <v>1</v>
      </c>
      <c r="Q47" s="26">
        <f>-PMT(J46/1200,J54*12,J44,0)</f>
        <v>4228.8235802163845</v>
      </c>
    </row>
    <row r="48" spans="15:17" ht="12.75" hidden="1">
      <c r="O48" s="20" t="s">
        <v>26</v>
      </c>
      <c r="P48" s="20">
        <v>2</v>
      </c>
      <c r="Q48" s="26">
        <f>-PMT(J46/2400,J54*24,J44,0)</f>
        <v>2111.8583654932986</v>
      </c>
    </row>
    <row r="49" spans="15:17" ht="12.75" hidden="1">
      <c r="O49" s="20" t="s">
        <v>23</v>
      </c>
      <c r="P49" s="20">
        <v>3</v>
      </c>
      <c r="Q49" s="26">
        <f>-PMT(J46/5200,J54*52,J44,0)</f>
        <v>974.0687730138491</v>
      </c>
    </row>
    <row r="50" ht="12.75" hidden="1">
      <c r="I50" s="20" t="s">
        <v>25</v>
      </c>
    </row>
    <row r="51" ht="12.75" hidden="1"/>
    <row r="52" ht="12.75" hidden="1"/>
    <row r="53" ht="12.75" hidden="1"/>
    <row r="54" spans="9:10" ht="12.75" hidden="1">
      <c r="I54" s="20" t="s">
        <v>21</v>
      </c>
      <c r="J54" s="20">
        <f>L42</f>
        <v>10</v>
      </c>
    </row>
    <row r="55" ht="12.75" hidden="1"/>
    <row r="56" spans="9:10" ht="12.75" hidden="1">
      <c r="I56" s="20" t="s">
        <v>32</v>
      </c>
      <c r="J56" s="44">
        <f>IF(M9=1,LOOKUP(M42,P47:P49,Q47:Q49),0)</f>
        <v>4228.8235802163845</v>
      </c>
    </row>
    <row r="62" ht="12.75"/>
    <row r="63" ht="12.75"/>
    <row r="64" ht="12.75"/>
    <row r="65" ht="12.75"/>
  </sheetData>
  <mergeCells count="1">
    <mergeCell ref="I2:J2"/>
  </mergeCells>
  <conditionalFormatting sqref="C16 C26">
    <cfRule type="cellIs" priority="1" dxfId="0" operator="notEqual" stopIfTrue="1">
      <formula>1</formula>
    </cfRule>
  </conditionalFormatting>
  <dataValidations count="1">
    <dataValidation operator="equal" allowBlank="1" showInputMessage="1" showErrorMessage="1" errorTitle="Error" error="Probabilities should add up to 1" sqref="C16 C26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N59"/>
  <sheetViews>
    <sheetView showGridLines="0" showRowColHeaders="0" workbookViewId="0" topLeftCell="E1">
      <selection activeCell="G61" sqref="G61"/>
    </sheetView>
  </sheetViews>
  <sheetFormatPr defaultColWidth="9.140625" defaultRowHeight="12.75"/>
  <cols>
    <col min="1" max="1" width="21.7109375" style="20" hidden="1" customWidth="1"/>
    <col min="2" max="2" width="23.8515625" style="20" hidden="1" customWidth="1"/>
    <col min="3" max="3" width="10.8515625" style="20" hidden="1" customWidth="1"/>
    <col min="4" max="4" width="8.421875" style="20" hidden="1" customWidth="1"/>
    <col min="5" max="5" width="22.00390625" style="20" customWidth="1"/>
    <col min="6" max="6" width="34.8515625" style="20" bestFit="1" customWidth="1"/>
    <col min="7" max="7" width="15.140625" style="20" bestFit="1" customWidth="1"/>
    <col min="8" max="11" width="9.140625" style="20" customWidth="1"/>
    <col min="12" max="13" width="0" style="20" hidden="1" customWidth="1"/>
    <col min="14" max="14" width="15.00390625" style="20" hidden="1" customWidth="1"/>
    <col min="15" max="16384" width="9.140625" style="20" customWidth="1"/>
  </cols>
  <sheetData>
    <row r="1" ht="22.5" customHeight="1"/>
    <row r="2" ht="5.25" customHeight="1"/>
    <row r="3" spans="8:10" ht="12.75" hidden="1">
      <c r="H3" s="38">
        <v>40</v>
      </c>
      <c r="I3" s="38">
        <v>6</v>
      </c>
      <c r="J3" s="20">
        <v>1</v>
      </c>
    </row>
    <row r="4" spans="1:14" ht="25.5" hidden="1">
      <c r="A4" s="39" t="s">
        <v>0</v>
      </c>
      <c r="L4" s="20" t="s">
        <v>22</v>
      </c>
      <c r="M4" s="20">
        <v>1</v>
      </c>
      <c r="N4" s="26">
        <f>-PMT(G10/1200,G18*12,G8)</f>
        <v>18525.837775770542</v>
      </c>
    </row>
    <row r="5" spans="12:14" ht="12.75" hidden="1">
      <c r="L5" s="20" t="s">
        <v>26</v>
      </c>
      <c r="M5" s="20">
        <v>2</v>
      </c>
      <c r="N5" s="26">
        <f>-PMT(G10/2400,G18*24,G8)</f>
        <v>9248.904135698498</v>
      </c>
    </row>
    <row r="6" spans="6:14" ht="12.75" hidden="1">
      <c r="F6" s="20" t="s">
        <v>41</v>
      </c>
      <c r="L6" s="20" t="s">
        <v>23</v>
      </c>
      <c r="M6" s="20">
        <v>3</v>
      </c>
      <c r="N6" s="26">
        <f>-PMT(G10/5200,G18*52,G8)</f>
        <v>4265.238657724773</v>
      </c>
    </row>
    <row r="7" ht="18" hidden="1">
      <c r="B7" s="40" t="s">
        <v>2</v>
      </c>
    </row>
    <row r="8" spans="6:13" ht="12.75" hidden="1">
      <c r="F8" s="20" t="s">
        <v>27</v>
      </c>
      <c r="G8" s="41">
        <v>1000000</v>
      </c>
      <c r="J8" s="20">
        <v>1</v>
      </c>
      <c r="L8" s="20" t="s">
        <v>39</v>
      </c>
      <c r="M8" s="20">
        <v>1</v>
      </c>
    </row>
    <row r="9" spans="2:13" ht="12.75" hidden="1">
      <c r="B9" s="27" t="s">
        <v>5</v>
      </c>
      <c r="C9" s="27" t="s">
        <v>6</v>
      </c>
      <c r="L9" s="20" t="s">
        <v>40</v>
      </c>
      <c r="M9" s="20">
        <v>2</v>
      </c>
    </row>
    <row r="10" spans="2:7" ht="12.75" hidden="1">
      <c r="B10" s="42">
        <v>0</v>
      </c>
      <c r="C10" s="24">
        <v>0.1</v>
      </c>
      <c r="F10" s="20" t="s">
        <v>24</v>
      </c>
      <c r="G10" s="38">
        <f>H3/4</f>
        <v>10</v>
      </c>
    </row>
    <row r="11" spans="2:14" ht="12.75" hidden="1">
      <c r="B11" s="42">
        <v>0.1</v>
      </c>
      <c r="C11" s="24">
        <v>0.5</v>
      </c>
      <c r="G11" s="43"/>
      <c r="N11" s="26"/>
    </row>
    <row r="12" spans="2:3" ht="12.75" hidden="1">
      <c r="B12" s="42">
        <v>0.25</v>
      </c>
      <c r="C12" s="24">
        <v>0.3</v>
      </c>
    </row>
    <row r="13" spans="2:3" ht="12.75" hidden="1">
      <c r="B13" s="42">
        <v>1</v>
      </c>
      <c r="C13" s="24">
        <v>0.1</v>
      </c>
    </row>
    <row r="14" ht="12.75" hidden="1">
      <c r="F14" s="20" t="s">
        <v>25</v>
      </c>
    </row>
    <row r="15" spans="2:3" ht="12.75" hidden="1">
      <c r="B15" s="27" t="s">
        <v>13</v>
      </c>
      <c r="C15" s="24">
        <f>SUM(C10:C13)</f>
        <v>0.9999999999999999</v>
      </c>
    </row>
    <row r="16" ht="12.75" hidden="1"/>
    <row r="17" ht="12.75" hidden="1"/>
    <row r="18" spans="2:7" ht="18" hidden="1">
      <c r="B18" s="40" t="s">
        <v>15</v>
      </c>
      <c r="F18" s="20" t="s">
        <v>21</v>
      </c>
      <c r="G18" s="20">
        <f>I3</f>
        <v>6</v>
      </c>
    </row>
    <row r="19" ht="12.75" hidden="1"/>
    <row r="20" spans="2:7" ht="12.75" hidden="1">
      <c r="B20" s="27" t="s">
        <v>5</v>
      </c>
      <c r="C20" s="27" t="s">
        <v>6</v>
      </c>
      <c r="F20" s="20" t="s">
        <v>30</v>
      </c>
      <c r="G20" s="44">
        <f>IF(J8=1,LOOKUP(J3,M4:M6,N4:N6),0)</f>
        <v>18525.837775770542</v>
      </c>
    </row>
    <row r="21" spans="2:3" ht="12.75" hidden="1">
      <c r="B21" s="42">
        <v>0.05</v>
      </c>
      <c r="C21" s="24">
        <v>0.5</v>
      </c>
    </row>
    <row r="22" spans="2:3" ht="12.75" hidden="1">
      <c r="B22" s="42">
        <v>0.1</v>
      </c>
      <c r="C22" s="24">
        <v>0.4</v>
      </c>
    </row>
    <row r="23" spans="2:3" ht="12.75" hidden="1">
      <c r="B23" s="42">
        <v>0</v>
      </c>
      <c r="C23" s="24">
        <v>0.1</v>
      </c>
    </row>
    <row r="24" ht="12.75" hidden="1"/>
    <row r="25" spans="2:10" ht="12.75" hidden="1">
      <c r="B25" s="27" t="s">
        <v>13</v>
      </c>
      <c r="C25" s="24">
        <f>SUM(C21:C23)</f>
        <v>1</v>
      </c>
      <c r="H25" s="20">
        <v>40</v>
      </c>
      <c r="I25" s="20">
        <v>5</v>
      </c>
      <c r="J25" s="20">
        <v>1</v>
      </c>
    </row>
    <row r="26" ht="12.75" hidden="1"/>
    <row r="27" spans="6:7" ht="12.75" hidden="1">
      <c r="F27" s="20" t="s">
        <v>28</v>
      </c>
      <c r="G27" s="44">
        <f>440000</f>
        <v>440000</v>
      </c>
    </row>
    <row r="28" spans="2:3" ht="18" hidden="1">
      <c r="B28" s="40" t="s">
        <v>19</v>
      </c>
      <c r="C28" s="42">
        <v>0.05</v>
      </c>
    </row>
    <row r="29" spans="6:7" ht="12.75" hidden="1">
      <c r="F29" s="20" t="s">
        <v>24</v>
      </c>
      <c r="G29" s="38">
        <f>H25/4</f>
        <v>10</v>
      </c>
    </row>
    <row r="30" spans="7:14" ht="12.75" hidden="1">
      <c r="G30" s="43"/>
      <c r="L30" s="20" t="s">
        <v>22</v>
      </c>
      <c r="M30" s="20">
        <v>1</v>
      </c>
      <c r="N30" s="26">
        <f>-PMT(G29/1200,G37*12,G27,0)</f>
        <v>9348.699672958073</v>
      </c>
    </row>
    <row r="31" spans="2:14" ht="12.75" hidden="1">
      <c r="B31" s="20" t="s">
        <v>1</v>
      </c>
      <c r="C31" s="45">
        <v>22800</v>
      </c>
      <c r="L31" s="20" t="s">
        <v>26</v>
      </c>
      <c r="M31" s="20">
        <v>2</v>
      </c>
      <c r="N31" s="26">
        <f>-PMT(G29/2400,G37*24,G27,0)</f>
        <v>4666.882670519297</v>
      </c>
    </row>
    <row r="32" spans="2:14" ht="12.75" hidden="1">
      <c r="B32" s="20" t="s">
        <v>3</v>
      </c>
      <c r="C32" s="45">
        <v>28000</v>
      </c>
      <c r="L32" s="20" t="s">
        <v>23</v>
      </c>
      <c r="M32" s="20">
        <v>3</v>
      </c>
      <c r="N32" s="26">
        <f>-PMT(G29/5200,G37*52,G27,0)</f>
        <v>2152.088252464006</v>
      </c>
    </row>
    <row r="33" ht="12.75" hidden="1">
      <c r="F33" s="20" t="s">
        <v>25</v>
      </c>
    </row>
    <row r="34" spans="2:3" ht="12.75" hidden="1">
      <c r="B34" s="20" t="s">
        <v>8</v>
      </c>
      <c r="C34" s="45">
        <f>G20</f>
        <v>18525.837775770542</v>
      </c>
    </row>
    <row r="35" spans="2:3" ht="12.75" hidden="1">
      <c r="B35" s="20" t="s">
        <v>9</v>
      </c>
      <c r="C35" s="45">
        <f>G39</f>
        <v>9348.699672958073</v>
      </c>
    </row>
    <row r="36" spans="2:3" ht="12.75" hidden="1">
      <c r="B36" s="20" t="s">
        <v>10</v>
      </c>
      <c r="C36" s="45">
        <f>G59</f>
        <v>6799.054307605871</v>
      </c>
    </row>
    <row r="37" spans="6:7" ht="12.75" hidden="1">
      <c r="F37" s="20" t="s">
        <v>21</v>
      </c>
      <c r="G37" s="20">
        <f>I25</f>
        <v>5</v>
      </c>
    </row>
    <row r="38" spans="2:3" ht="12.75" hidden="1">
      <c r="B38" s="20" t="s">
        <v>11</v>
      </c>
      <c r="C38" s="45">
        <v>2400</v>
      </c>
    </row>
    <row r="39" spans="2:7" ht="12.75" hidden="1">
      <c r="B39" s="20" t="s">
        <v>12</v>
      </c>
      <c r="C39" s="45">
        <v>800</v>
      </c>
      <c r="F39" s="20" t="s">
        <v>31</v>
      </c>
      <c r="G39" s="44">
        <f>IF(J8=1,LOOKUP(J25,M30:M32,N30:N32),0)</f>
        <v>9348.699672958073</v>
      </c>
    </row>
    <row r="40" ht="12.75" hidden="1"/>
    <row r="41" spans="8:10" ht="12.75" hidden="1">
      <c r="H41" s="20">
        <v>40</v>
      </c>
      <c r="I41" s="20">
        <v>5</v>
      </c>
      <c r="J41" s="20">
        <v>1</v>
      </c>
    </row>
    <row r="42" ht="33.75" customHeight="1" hidden="1"/>
    <row r="43" spans="6:7" ht="15.75">
      <c r="F43" s="98" t="s">
        <v>49</v>
      </c>
      <c r="G43" s="98"/>
    </row>
    <row r="44" ht="12.75"/>
    <row r="45" ht="12.75">
      <c r="F45" s="27" t="s">
        <v>41</v>
      </c>
    </row>
    <row r="46" ht="13.5" thickBot="1"/>
    <row r="47" spans="6:7" ht="13.5" thickBot="1">
      <c r="F47" s="27" t="s">
        <v>45</v>
      </c>
      <c r="G47" s="46">
        <f>320000</f>
        <v>320000</v>
      </c>
    </row>
    <row r="48" ht="12.75">
      <c r="F48" s="27"/>
    </row>
    <row r="49" spans="6:7" ht="12.75">
      <c r="F49" s="27" t="s">
        <v>24</v>
      </c>
      <c r="G49" s="7">
        <f>H41/4</f>
        <v>10</v>
      </c>
    </row>
    <row r="50" spans="6:14" ht="12.75">
      <c r="F50" s="27"/>
      <c r="G50" s="43"/>
      <c r="L50" s="20" t="s">
        <v>22</v>
      </c>
      <c r="M50" s="20">
        <v>1</v>
      </c>
      <c r="N50" s="26">
        <f>-PMT(G49/1200,G57*12,G47,0)</f>
        <v>6799.054307605871</v>
      </c>
    </row>
    <row r="51" spans="6:14" ht="12.75">
      <c r="F51" s="27"/>
      <c r="L51" s="20" t="s">
        <v>26</v>
      </c>
      <c r="M51" s="20">
        <v>2</v>
      </c>
      <c r="N51" s="26">
        <f>-PMT(G49/2400,G57*24,G47,0)</f>
        <v>3394.0964876503976</v>
      </c>
    </row>
    <row r="52" spans="6:14" ht="12.75">
      <c r="F52" s="27"/>
      <c r="L52" s="20" t="s">
        <v>23</v>
      </c>
      <c r="M52" s="20">
        <v>3</v>
      </c>
      <c r="N52" s="26">
        <f>-PMT(G49/5200,G57*52,G47,0)</f>
        <v>1565.155092701095</v>
      </c>
    </row>
    <row r="53" ht="12.75">
      <c r="F53" s="27" t="s">
        <v>25</v>
      </c>
    </row>
    <row r="54" ht="12.75">
      <c r="F54" s="27"/>
    </row>
    <row r="55" spans="6:7" ht="12.75">
      <c r="F55" s="27" t="s">
        <v>50</v>
      </c>
      <c r="G55" s="8">
        <v>800</v>
      </c>
    </row>
    <row r="56" ht="12.75">
      <c r="F56" s="27"/>
    </row>
    <row r="57" spans="6:7" ht="12.75">
      <c r="F57" s="27" t="s">
        <v>21</v>
      </c>
      <c r="G57" s="5">
        <f>I41</f>
        <v>5</v>
      </c>
    </row>
    <row r="58" ht="13.5" thickBot="1">
      <c r="F58" s="27"/>
    </row>
    <row r="59" spans="6:7" ht="13.5" thickBot="1">
      <c r="F59" s="27" t="s">
        <v>47</v>
      </c>
      <c r="G59" s="2">
        <f>IF(J8=1,LOOKUP(J41,M50:M52,N50:N52),0)</f>
        <v>6799.054307605871</v>
      </c>
    </row>
  </sheetData>
  <mergeCells count="1">
    <mergeCell ref="F43:G43"/>
  </mergeCells>
  <conditionalFormatting sqref="C15 C25">
    <cfRule type="cellIs" priority="1" dxfId="0" operator="notEqual" stopIfTrue="1">
      <formula>1</formula>
    </cfRule>
  </conditionalFormatting>
  <dataValidations count="1">
    <dataValidation operator="equal" allowBlank="1" showInputMessage="1" showErrorMessage="1" errorTitle="Error" error="Probabilities should add up to 1" sqref="C15 C25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Y55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25.28125" style="20" customWidth="1"/>
    <col min="2" max="2" width="20.140625" style="20" bestFit="1" customWidth="1"/>
    <col min="3" max="3" width="9.7109375" style="20" bestFit="1" customWidth="1"/>
    <col min="4" max="4" width="9.140625" style="20" customWidth="1"/>
    <col min="5" max="5" width="0" style="20" hidden="1" customWidth="1"/>
    <col min="6" max="6" width="30.421875" style="20" hidden="1" customWidth="1"/>
    <col min="7" max="7" width="15.140625" style="20" hidden="1" customWidth="1"/>
    <col min="8" max="13" width="0" style="20" hidden="1" customWidth="1"/>
    <col min="14" max="14" width="15.00390625" style="20" hidden="1" customWidth="1"/>
    <col min="15" max="25" width="0" style="20" hidden="1" customWidth="1"/>
    <col min="26" max="16384" width="9.140625" style="20" customWidth="1"/>
  </cols>
  <sheetData>
    <row r="1" ht="12.75"/>
    <row r="2" ht="12.75"/>
    <row r="3" spans="8:10" ht="12.75" hidden="1">
      <c r="H3" s="35">
        <v>40</v>
      </c>
      <c r="I3" s="35">
        <v>6</v>
      </c>
      <c r="J3" s="20">
        <v>1</v>
      </c>
    </row>
    <row r="4" spans="1:14" ht="25.5">
      <c r="A4" s="39"/>
      <c r="B4" s="98" t="s">
        <v>54</v>
      </c>
      <c r="C4" s="98"/>
      <c r="L4" s="20" t="s">
        <v>22</v>
      </c>
      <c r="M4" s="20">
        <v>1</v>
      </c>
      <c r="N4" s="26">
        <f>-PMT(G10/1200,G18*12,G8)</f>
        <v>18525.837775770542</v>
      </c>
    </row>
    <row r="5" spans="12:25" ht="12.75">
      <c r="L5" s="20" t="s">
        <v>26</v>
      </c>
      <c r="M5" s="20">
        <v>2</v>
      </c>
      <c r="N5" s="26">
        <f>-PMT(G10/2400,G18*24,G8)</f>
        <v>9248.904135698498</v>
      </c>
      <c r="Q5" s="20">
        <v>2</v>
      </c>
      <c r="R5" s="20" t="s">
        <v>51</v>
      </c>
      <c r="U5" s="20">
        <v>1</v>
      </c>
      <c r="V5" s="20">
        <v>0</v>
      </c>
      <c r="W5" s="20">
        <v>0</v>
      </c>
      <c r="X5" s="20">
        <v>0</v>
      </c>
      <c r="Y5" s="20">
        <v>1</v>
      </c>
    </row>
    <row r="6" spans="6:25" ht="12.75">
      <c r="F6" s="20" t="s">
        <v>41</v>
      </c>
      <c r="L6" s="20" t="s">
        <v>23</v>
      </c>
      <c r="M6" s="20">
        <v>3</v>
      </c>
      <c r="N6" s="26">
        <f>-PMT(G10/5200,G18*52,G8)</f>
        <v>4265.238657724773</v>
      </c>
      <c r="R6" s="20" t="s">
        <v>53</v>
      </c>
      <c r="T6" s="32"/>
      <c r="U6" s="20">
        <v>2</v>
      </c>
      <c r="V6" s="20">
        <v>0.1</v>
      </c>
      <c r="W6" s="20">
        <v>0.5</v>
      </c>
      <c r="X6" s="20">
        <v>0.3</v>
      </c>
      <c r="Y6" s="20">
        <v>0.1</v>
      </c>
    </row>
    <row r="7" spans="2:25" ht="15">
      <c r="B7" s="99" t="s">
        <v>55</v>
      </c>
      <c r="C7" s="99"/>
      <c r="R7" s="20" t="s">
        <v>52</v>
      </c>
      <c r="T7" s="32"/>
      <c r="U7" s="20">
        <v>3</v>
      </c>
      <c r="V7" s="20">
        <v>1</v>
      </c>
      <c r="W7" s="20">
        <v>0</v>
      </c>
      <c r="X7" s="20">
        <v>0</v>
      </c>
      <c r="Y7" s="20">
        <v>0</v>
      </c>
    </row>
    <row r="8" spans="1:20" ht="21.75" customHeight="1">
      <c r="A8" s="48" t="s">
        <v>56</v>
      </c>
      <c r="F8" s="20" t="s">
        <v>27</v>
      </c>
      <c r="G8" s="49">
        <v>1000000</v>
      </c>
      <c r="J8" s="20">
        <v>1</v>
      </c>
      <c r="L8" s="20" t="s">
        <v>39</v>
      </c>
      <c r="M8" s="20">
        <v>1</v>
      </c>
      <c r="T8" s="32"/>
    </row>
    <row r="9" spans="2:20" ht="12.75">
      <c r="B9" s="50" t="s">
        <v>5</v>
      </c>
      <c r="C9" s="50" t="s">
        <v>6</v>
      </c>
      <c r="L9" s="20" t="s">
        <v>40</v>
      </c>
      <c r="M9" s="20">
        <v>2</v>
      </c>
      <c r="T9" s="32"/>
    </row>
    <row r="10" spans="2:7" ht="12.75">
      <c r="B10" s="10">
        <v>0</v>
      </c>
      <c r="C10" s="11">
        <f>LOOKUP(Q5,U5:U7,V5:V7)</f>
        <v>0.1</v>
      </c>
      <c r="F10" s="20" t="s">
        <v>24</v>
      </c>
      <c r="G10" s="35">
        <f>H3/4</f>
        <v>10</v>
      </c>
    </row>
    <row r="11" spans="2:14" ht="12.75">
      <c r="B11" s="10">
        <v>0.1</v>
      </c>
      <c r="C11" s="11">
        <f>LOOKUP(Q5,U5:U7,W5:W7)</f>
        <v>0.5</v>
      </c>
      <c r="G11" s="32"/>
      <c r="N11" s="26"/>
    </row>
    <row r="12" spans="2:3" ht="12.75">
      <c r="B12" s="10">
        <v>0.25</v>
      </c>
      <c r="C12" s="11">
        <f>LOOKUP(Q5,U5:U7,X5:X7)</f>
        <v>0.3</v>
      </c>
    </row>
    <row r="13" spans="2:3" ht="12.75">
      <c r="B13" s="10">
        <v>1</v>
      </c>
      <c r="C13" s="11">
        <f>LOOKUP(Q5,U5:U7,Y5:Y7)</f>
        <v>0.1</v>
      </c>
    </row>
    <row r="14" spans="2:6" ht="12.75">
      <c r="B14" s="15" t="s">
        <v>13</v>
      </c>
      <c r="C14" s="14">
        <f>SUM(C10:C13)</f>
        <v>0.9999999999999999</v>
      </c>
      <c r="F14" s="20" t="s">
        <v>25</v>
      </c>
    </row>
    <row r="15" ht="12.75"/>
    <row r="16" ht="12.75"/>
    <row r="17" spans="2:3" ht="15">
      <c r="B17" s="99" t="s">
        <v>15</v>
      </c>
      <c r="C17" s="99"/>
    </row>
    <row r="18" spans="1:7" ht="24" customHeight="1">
      <c r="A18" s="48" t="s">
        <v>56</v>
      </c>
      <c r="F18" s="20" t="s">
        <v>21</v>
      </c>
      <c r="G18" s="20">
        <f>I3</f>
        <v>6</v>
      </c>
    </row>
    <row r="19" spans="2:3" ht="12.75">
      <c r="B19" s="50" t="s">
        <v>5</v>
      </c>
      <c r="C19" s="50" t="s">
        <v>6</v>
      </c>
    </row>
    <row r="20" spans="2:7" ht="12.75">
      <c r="B20" s="10">
        <v>0</v>
      </c>
      <c r="C20" s="11">
        <f>LOOKUP(R21,U21:U23,V21:V23)</f>
        <v>0.1</v>
      </c>
      <c r="F20" s="20" t="s">
        <v>30</v>
      </c>
      <c r="G20" s="34">
        <f>IF(J8=1,LOOKUP(J3,M4:M6,N4:N6),0)</f>
        <v>18525.837775770542</v>
      </c>
    </row>
    <row r="21" spans="2:24" ht="12.75">
      <c r="B21" s="10">
        <v>0.05</v>
      </c>
      <c r="C21" s="11">
        <f>LOOKUP(R21,U21:U23,W21:W23)</f>
        <v>0.5</v>
      </c>
      <c r="R21" s="20">
        <v>2</v>
      </c>
      <c r="S21" s="20" t="s">
        <v>51</v>
      </c>
      <c r="U21" s="20">
        <v>1</v>
      </c>
      <c r="V21" s="20">
        <v>0</v>
      </c>
      <c r="W21" s="20">
        <v>0</v>
      </c>
      <c r="X21" s="20">
        <v>1</v>
      </c>
    </row>
    <row r="22" spans="2:24" ht="12.75">
      <c r="B22" s="10">
        <v>0.1</v>
      </c>
      <c r="C22" s="11">
        <f>LOOKUP(R21,U21:U23,X21:X23)</f>
        <v>0.4</v>
      </c>
      <c r="S22" s="20" t="s">
        <v>53</v>
      </c>
      <c r="U22" s="20">
        <v>2</v>
      </c>
      <c r="V22" s="20">
        <v>0.1</v>
      </c>
      <c r="W22" s="20">
        <v>0.5</v>
      </c>
      <c r="X22" s="20">
        <v>0.4</v>
      </c>
    </row>
    <row r="23" spans="2:24" ht="12.75">
      <c r="B23" s="12" t="s">
        <v>13</v>
      </c>
      <c r="C23" s="14">
        <f>SUM(C20:C22)</f>
        <v>1</v>
      </c>
      <c r="S23" s="20" t="s">
        <v>52</v>
      </c>
      <c r="U23" s="20">
        <v>3</v>
      </c>
      <c r="V23" s="20">
        <v>1</v>
      </c>
      <c r="W23" s="20">
        <v>0</v>
      </c>
      <c r="X23" s="20">
        <v>0</v>
      </c>
    </row>
    <row r="24" ht="12.75"/>
    <row r="25" spans="8:10" ht="12.75">
      <c r="H25" s="20">
        <v>40</v>
      </c>
      <c r="I25" s="20">
        <v>5</v>
      </c>
      <c r="J25" s="20">
        <v>1</v>
      </c>
    </row>
    <row r="26" spans="2:3" ht="15">
      <c r="B26" s="99" t="s">
        <v>19</v>
      </c>
      <c r="C26" s="99"/>
    </row>
    <row r="27" spans="1:7" ht="23.25" customHeight="1">
      <c r="A27" s="48" t="s">
        <v>56</v>
      </c>
      <c r="B27" s="47"/>
      <c r="C27" s="47"/>
      <c r="F27" s="20" t="s">
        <v>28</v>
      </c>
      <c r="G27" s="34">
        <f>440000</f>
        <v>440000</v>
      </c>
    </row>
    <row r="28" spans="2:22" ht="12.75">
      <c r="B28" s="13" t="s">
        <v>5</v>
      </c>
      <c r="C28" s="10">
        <f>LOOKUP(R28,U28:U30,V28:V30)</f>
        <v>0.05</v>
      </c>
      <c r="R28" s="20">
        <v>2</v>
      </c>
      <c r="S28" s="20" t="s">
        <v>51</v>
      </c>
      <c r="U28" s="20">
        <v>1</v>
      </c>
      <c r="V28" s="20">
        <v>0.1</v>
      </c>
    </row>
    <row r="29" spans="6:22" ht="12.75">
      <c r="F29" s="20" t="s">
        <v>24</v>
      </c>
      <c r="G29" s="35">
        <f>H25/4</f>
        <v>10</v>
      </c>
      <c r="S29" s="20" t="s">
        <v>53</v>
      </c>
      <c r="U29" s="20">
        <v>2</v>
      </c>
      <c r="V29" s="20">
        <v>0.05</v>
      </c>
    </row>
    <row r="30" spans="7:22" ht="12.75">
      <c r="G30" s="32"/>
      <c r="L30" s="20" t="s">
        <v>22</v>
      </c>
      <c r="M30" s="20">
        <v>1</v>
      </c>
      <c r="N30" s="26">
        <f>-PMT(G29/1200,G37*12,G27,0)</f>
        <v>9348.699672958073</v>
      </c>
      <c r="S30" s="20" t="s">
        <v>52</v>
      </c>
      <c r="U30" s="20">
        <v>3</v>
      </c>
      <c r="V30" s="20">
        <v>0</v>
      </c>
    </row>
    <row r="31" spans="2:14" ht="12.75" hidden="1">
      <c r="B31" s="20" t="s">
        <v>1</v>
      </c>
      <c r="C31" s="45">
        <v>22800</v>
      </c>
      <c r="L31" s="20" t="s">
        <v>26</v>
      </c>
      <c r="M31" s="20">
        <v>2</v>
      </c>
      <c r="N31" s="26">
        <f>-PMT(G29/2400,G37*24,G27,0)</f>
        <v>4666.882670519297</v>
      </c>
    </row>
    <row r="32" spans="2:14" ht="12.75" hidden="1">
      <c r="B32" s="20" t="s">
        <v>3</v>
      </c>
      <c r="C32" s="45">
        <v>28000</v>
      </c>
      <c r="L32" s="20" t="s">
        <v>23</v>
      </c>
      <c r="M32" s="20">
        <v>3</v>
      </c>
      <c r="N32" s="26">
        <f>-PMT(G29/5200,G37*52,G27,0)</f>
        <v>2152.088252464006</v>
      </c>
    </row>
    <row r="33" ht="12.75" hidden="1">
      <c r="F33" s="20" t="s">
        <v>25</v>
      </c>
    </row>
    <row r="34" spans="2:3" ht="12.75" hidden="1">
      <c r="B34" s="20" t="s">
        <v>8</v>
      </c>
      <c r="C34" s="45">
        <f>G20</f>
        <v>18525.837775770542</v>
      </c>
    </row>
    <row r="35" spans="2:3" ht="12.75" hidden="1">
      <c r="B35" s="20" t="s">
        <v>9</v>
      </c>
      <c r="C35" s="45">
        <f>G39</f>
        <v>9348.699672958073</v>
      </c>
    </row>
    <row r="36" spans="2:3" ht="12.75" hidden="1">
      <c r="B36" s="20" t="s">
        <v>10</v>
      </c>
      <c r="C36" s="45">
        <f>G55</f>
        <v>4228.8235802163845</v>
      </c>
    </row>
    <row r="37" spans="6:7" ht="12.75" hidden="1">
      <c r="F37" s="20" t="s">
        <v>21</v>
      </c>
      <c r="G37" s="20">
        <f>I25</f>
        <v>5</v>
      </c>
    </row>
    <row r="38" spans="2:3" ht="12.75" hidden="1">
      <c r="B38" s="20" t="s">
        <v>11</v>
      </c>
      <c r="C38" s="45">
        <v>2400</v>
      </c>
    </row>
    <row r="39" spans="2:7" ht="12.75" hidden="1">
      <c r="B39" s="20" t="s">
        <v>12</v>
      </c>
      <c r="C39" s="45">
        <v>800</v>
      </c>
      <c r="F39" s="20" t="s">
        <v>31</v>
      </c>
      <c r="G39" s="34">
        <f>IF(J8=1,LOOKUP(J25,M30:M32,N30:N32),0)</f>
        <v>9348.699672958073</v>
      </c>
    </row>
    <row r="41" spans="8:10" ht="12.75">
      <c r="H41" s="20">
        <v>40</v>
      </c>
      <c r="I41" s="20">
        <v>10</v>
      </c>
      <c r="J41" s="20">
        <v>1</v>
      </c>
    </row>
    <row r="43" spans="6:7" ht="12.75">
      <c r="F43" s="20" t="s">
        <v>29</v>
      </c>
      <c r="G43" s="34">
        <f>320000</f>
        <v>320000</v>
      </c>
    </row>
    <row r="45" spans="6:7" ht="12.75">
      <c r="F45" s="20" t="s">
        <v>24</v>
      </c>
      <c r="G45" s="35">
        <f>H41/4</f>
        <v>10</v>
      </c>
    </row>
    <row r="46" spans="7:14" ht="12.75">
      <c r="G46" s="32"/>
      <c r="L46" s="20" t="s">
        <v>22</v>
      </c>
      <c r="M46" s="20">
        <v>1</v>
      </c>
      <c r="N46" s="26">
        <f>-PMT(G45/1200,G53*12,G43,0)</f>
        <v>4228.8235802163845</v>
      </c>
    </row>
    <row r="47" spans="12:14" ht="12.75">
      <c r="L47" s="20" t="s">
        <v>26</v>
      </c>
      <c r="M47" s="20">
        <v>2</v>
      </c>
      <c r="N47" s="26">
        <f>-PMT(G45/2400,G53*24,G43,0)</f>
        <v>2111.8583654932986</v>
      </c>
    </row>
    <row r="48" spans="12:14" ht="12.75">
      <c r="L48" s="20" t="s">
        <v>23</v>
      </c>
      <c r="M48" s="20">
        <v>3</v>
      </c>
      <c r="N48" s="26">
        <f>-PMT(G45/5200,G53*52,G43,0)</f>
        <v>974.0687730138491</v>
      </c>
    </row>
    <row r="49" ht="12.75">
      <c r="F49" s="20" t="s">
        <v>25</v>
      </c>
    </row>
    <row r="53" spans="6:7" ht="12.75">
      <c r="F53" s="20" t="s">
        <v>21</v>
      </c>
      <c r="G53" s="20">
        <f>I41</f>
        <v>10</v>
      </c>
    </row>
    <row r="55" spans="6:7" ht="12.75">
      <c r="F55" s="20" t="s">
        <v>32</v>
      </c>
      <c r="G55" s="34">
        <f>IF(J8=1,LOOKUP(J41,M46:M48,N46:N48),0)</f>
        <v>4228.8235802163845</v>
      </c>
    </row>
  </sheetData>
  <mergeCells count="4">
    <mergeCell ref="B7:C7"/>
    <mergeCell ref="B4:C4"/>
    <mergeCell ref="B17:C17"/>
    <mergeCell ref="B26:C26"/>
  </mergeCells>
  <conditionalFormatting sqref="C14 C23">
    <cfRule type="cellIs" priority="1" dxfId="0" operator="notEqual" stopIfTrue="1">
      <formula>1</formula>
    </cfRule>
  </conditionalFormatting>
  <dataValidations count="1">
    <dataValidation operator="equal" allowBlank="1" showInputMessage="1" showErrorMessage="1" errorTitle="Error" error="Probabilities should add up to 1" sqref="C14 C23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T34"/>
  <sheetViews>
    <sheetView showGridLines="0" showRowColHeaders="0" zoomScale="110" zoomScaleNormal="110" workbookViewId="0" topLeftCell="A1">
      <selection activeCell="A1" sqref="A1"/>
    </sheetView>
  </sheetViews>
  <sheetFormatPr defaultColWidth="9.140625" defaultRowHeight="12.75"/>
  <cols>
    <col min="1" max="1" width="15.421875" style="16" customWidth="1"/>
    <col min="2" max="2" width="10.421875" style="16" customWidth="1"/>
    <col min="3" max="3" width="12.140625" style="16" customWidth="1"/>
    <col min="4" max="4" width="10.00390625" style="16" customWidth="1"/>
    <col min="5" max="5" width="11.8515625" style="16" customWidth="1"/>
    <col min="6" max="6" width="7.28125" style="16" customWidth="1"/>
    <col min="7" max="7" width="7.00390625" style="16" customWidth="1"/>
    <col min="8" max="8" width="4.7109375" style="16" customWidth="1"/>
    <col min="9" max="9" width="1.8515625" style="16" customWidth="1"/>
    <col min="10" max="10" width="9.8515625" style="16" bestFit="1" customWidth="1"/>
    <col min="11" max="11" width="21.8515625" style="16" customWidth="1"/>
    <col min="12" max="12" width="11.57421875" style="16" bestFit="1" customWidth="1"/>
    <col min="13" max="13" width="11.140625" style="16" bestFit="1" customWidth="1"/>
    <col min="14" max="15" width="10.57421875" style="16" bestFit="1" customWidth="1"/>
    <col min="16" max="16" width="9.00390625" style="16" bestFit="1" customWidth="1"/>
    <col min="17" max="17" width="10.57421875" style="16" bestFit="1" customWidth="1"/>
    <col min="18" max="18" width="16.57421875" style="16" bestFit="1" customWidth="1"/>
    <col min="19" max="16384" width="9.140625" style="16" customWidth="1"/>
  </cols>
  <sheetData>
    <row r="2" spans="16:19" ht="12.75">
      <c r="P2" s="51"/>
      <c r="Q2" s="51"/>
      <c r="R2" s="51"/>
      <c r="S2" s="51"/>
    </row>
    <row r="3" spans="16:19" ht="12.75">
      <c r="P3" s="52"/>
      <c r="Q3" s="51"/>
      <c r="R3" s="53"/>
      <c r="S3" s="54"/>
    </row>
    <row r="4" spans="16:19" ht="12.75">
      <c r="P4" s="55"/>
      <c r="Q4" s="54"/>
      <c r="R4" s="54"/>
      <c r="S4" s="54"/>
    </row>
    <row r="5" spans="1:19" ht="22.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P5" s="54"/>
      <c r="Q5" s="54"/>
      <c r="R5" s="54"/>
      <c r="S5" s="54"/>
    </row>
    <row r="6" spans="10:19" ht="12.75">
      <c r="J6" s="56" t="s">
        <v>7</v>
      </c>
      <c r="P6" s="55"/>
      <c r="Q6" s="54"/>
      <c r="R6" s="57"/>
      <c r="S6" s="54"/>
    </row>
    <row r="7" spans="10:19" ht="12.75">
      <c r="J7" s="56"/>
      <c r="L7" s="101" t="s">
        <v>38</v>
      </c>
      <c r="M7" s="101"/>
      <c r="N7" s="101"/>
      <c r="O7" s="101"/>
      <c r="P7" s="101"/>
      <c r="Q7" s="101"/>
      <c r="R7" s="57"/>
      <c r="S7" s="54"/>
    </row>
    <row r="8" spans="2:19" ht="13.5" thickBot="1">
      <c r="B8" s="58"/>
      <c r="C8" s="58"/>
      <c r="D8" s="58"/>
      <c r="E8" s="58"/>
      <c r="F8" s="58"/>
      <c r="G8" s="58"/>
      <c r="H8" s="58"/>
      <c r="I8" s="58"/>
      <c r="J8" s="59">
        <f>B10+B9</f>
        <v>5200</v>
      </c>
      <c r="L8" s="100" t="s">
        <v>33</v>
      </c>
      <c r="M8" s="100"/>
      <c r="N8" s="100"/>
      <c r="O8" s="100" t="s">
        <v>37</v>
      </c>
      <c r="P8" s="100"/>
      <c r="Q8" s="100"/>
      <c r="R8" s="57"/>
      <c r="S8" s="54"/>
    </row>
    <row r="9" spans="2:19" ht="12.75">
      <c r="B9" s="60">
        <f>-Effects!C31</f>
        <v>-22800</v>
      </c>
      <c r="D9" s="61"/>
      <c r="E9" s="61"/>
      <c r="F9" s="61"/>
      <c r="G9" s="61"/>
      <c r="H9" s="61"/>
      <c r="J9" s="62"/>
      <c r="L9" s="11" t="s">
        <v>34</v>
      </c>
      <c r="M9" s="11" t="s">
        <v>35</v>
      </c>
      <c r="N9" s="11" t="s">
        <v>36</v>
      </c>
      <c r="O9" s="11" t="s">
        <v>34</v>
      </c>
      <c r="P9" s="63" t="s">
        <v>35</v>
      </c>
      <c r="Q9" s="63" t="s">
        <v>36</v>
      </c>
      <c r="R9" s="57"/>
      <c r="S9" s="54"/>
    </row>
    <row r="10" spans="1:19" ht="12.75">
      <c r="A10" s="64"/>
      <c r="B10" s="65">
        <f>Effects!C32</f>
        <v>28000</v>
      </c>
      <c r="C10" s="61"/>
      <c r="D10" s="61"/>
      <c r="E10" s="61"/>
      <c r="F10" s="61"/>
      <c r="G10" s="61"/>
      <c r="H10" s="61"/>
      <c r="J10" s="62"/>
      <c r="L10" s="66">
        <f>MAX(J11:J25)</f>
        <v>74178.34503831029</v>
      </c>
      <c r="M10" s="66">
        <f>MIN(J11:J25)</f>
        <v>38898.345038310275</v>
      </c>
      <c r="N10" s="66">
        <f>D18</f>
        <v>47854.320038310274</v>
      </c>
      <c r="O10" s="66">
        <f>MAX(J31:J33)</f>
        <v>45987.99040366248</v>
      </c>
      <c r="P10" s="67">
        <f>MIN(J31:J33)</f>
        <v>43047.99040366248</v>
      </c>
      <c r="Q10" s="67">
        <f>D31</f>
        <v>44958.99040366248</v>
      </c>
      <c r="R10" s="54"/>
      <c r="S10" s="54"/>
    </row>
    <row r="11" spans="2:20" ht="13.5" thickBot="1">
      <c r="B11" s="68"/>
      <c r="F11" s="69">
        <f>J11*G11+J12*G12+J13*G13</f>
        <v>40809.345038310275</v>
      </c>
      <c r="G11" s="70">
        <f>Effects!C$20</f>
        <v>0.1</v>
      </c>
      <c r="H11" s="71">
        <f>Effects!B$20</f>
        <v>0</v>
      </c>
      <c r="I11" s="58"/>
      <c r="J11" s="72">
        <f>B$26+C$20+C$21+(B$27*(1+E12))*(1+H11)</f>
        <v>38898.345038310275</v>
      </c>
      <c r="P11" s="55"/>
      <c r="Q11" s="54"/>
      <c r="R11" s="54"/>
      <c r="S11" s="54"/>
      <c r="T11" s="73"/>
    </row>
    <row r="12" spans="2:19" ht="13.5" thickBot="1">
      <c r="B12" s="74"/>
      <c r="C12" s="75"/>
      <c r="E12" s="71">
        <f>Effects!B10</f>
        <v>0</v>
      </c>
      <c r="F12" s="58"/>
      <c r="G12" s="70">
        <f>Effects!C$21</f>
        <v>0.5</v>
      </c>
      <c r="H12" s="71">
        <f>Effects!B$21</f>
        <v>0.05</v>
      </c>
      <c r="I12" s="58"/>
      <c r="J12" s="72">
        <f>B$26+C$20+C$21+(B$27*(1+E$12))*(1+H12)</f>
        <v>40368.345038310275</v>
      </c>
      <c r="P12" s="54"/>
      <c r="Q12" s="54"/>
      <c r="R12" s="54"/>
      <c r="S12" s="54"/>
    </row>
    <row r="13" spans="2:19" ht="13.5" thickBot="1">
      <c r="B13" s="68"/>
      <c r="E13" s="76">
        <f>Effects!C10</f>
        <v>0.1</v>
      </c>
      <c r="G13" s="70">
        <f>Effects!C$22</f>
        <v>0.4</v>
      </c>
      <c r="H13" s="71">
        <f>Effects!B$22</f>
        <v>0.1</v>
      </c>
      <c r="I13" s="58"/>
      <c r="J13" s="72">
        <f>B$26+C$20+C$21+(B$27*(1+E$12))*(1+H13)</f>
        <v>41838.34503831028</v>
      </c>
      <c r="P13" s="54"/>
      <c r="Q13" s="54"/>
      <c r="R13" s="54"/>
      <c r="S13" s="54"/>
    </row>
    <row r="14" spans="1:19" ht="12.75">
      <c r="A14" s="64" t="s">
        <v>14</v>
      </c>
      <c r="B14" s="68"/>
      <c r="E14" s="77"/>
      <c r="G14" s="78"/>
      <c r="H14" s="79"/>
      <c r="J14" s="72"/>
      <c r="P14" s="54"/>
      <c r="Q14" s="54"/>
      <c r="R14" s="53"/>
      <c r="S14" s="54"/>
    </row>
    <row r="15" spans="2:19" ht="13.5" thickBot="1">
      <c r="B15" s="68"/>
      <c r="E15" s="68"/>
      <c r="F15" s="69">
        <f>J15*G15+J16*G16+J17*G17</f>
        <v>43940.44503831028</v>
      </c>
      <c r="G15" s="70">
        <f>Effects!C$20</f>
        <v>0.1</v>
      </c>
      <c r="H15" s="71">
        <f>Effects!B$20</f>
        <v>0</v>
      </c>
      <c r="I15" s="58"/>
      <c r="J15" s="72">
        <f>B$26+C$20+C$21+(B$27*(1+E16))*(1+H15)</f>
        <v>41838.34503831028</v>
      </c>
      <c r="P15" s="54"/>
      <c r="Q15" s="54"/>
      <c r="R15" s="54"/>
      <c r="S15" s="54"/>
    </row>
    <row r="16" spans="1:19" ht="13.5" thickBot="1">
      <c r="A16" s="80">
        <f>MAX(J8,B22)</f>
        <v>47854.320038310274</v>
      </c>
      <c r="B16" s="68"/>
      <c r="E16" s="81">
        <f>Effects!B11</f>
        <v>0.1</v>
      </c>
      <c r="F16" s="58"/>
      <c r="G16" s="70">
        <f>Effects!C$21</f>
        <v>0.5</v>
      </c>
      <c r="H16" s="71">
        <f>Effects!B$21</f>
        <v>0.05</v>
      </c>
      <c r="I16" s="58"/>
      <c r="J16" s="72">
        <f>B$26+C$20+C$21+(B$27*(1+E$16))*(1+H16)</f>
        <v>43455.34503831028</v>
      </c>
      <c r="P16" s="54"/>
      <c r="Q16" s="54"/>
      <c r="R16" s="54"/>
      <c r="S16" s="54"/>
    </row>
    <row r="17" spans="1:19" ht="13.5" thickBot="1">
      <c r="A17" s="58"/>
      <c r="E17" s="76">
        <f>Effects!C11</f>
        <v>0.5</v>
      </c>
      <c r="F17" s="61"/>
      <c r="G17" s="70">
        <f>Effects!C$22</f>
        <v>0.4</v>
      </c>
      <c r="H17" s="71">
        <f>Effects!B$22</f>
        <v>0.1</v>
      </c>
      <c r="I17" s="58"/>
      <c r="J17" s="72">
        <f>B$26+C$20+C$21+(B$27*(1+E$16))*(1+H17)</f>
        <v>45072.34503831028</v>
      </c>
      <c r="P17" s="54"/>
      <c r="Q17" s="54"/>
      <c r="R17" s="57"/>
      <c r="S17" s="54"/>
    </row>
    <row r="18" spans="4:19" ht="12.75">
      <c r="D18" s="82">
        <f>F11*E13+F15*E17+F19*E21+F23*E25</f>
        <v>47854.320038310274</v>
      </c>
      <c r="E18" s="77"/>
      <c r="F18" s="61"/>
      <c r="G18" s="78"/>
      <c r="H18" s="79"/>
      <c r="J18" s="72"/>
      <c r="P18" s="54"/>
      <c r="Q18" s="54"/>
      <c r="R18" s="57"/>
      <c r="S18" s="54"/>
    </row>
    <row r="19" spans="2:19" ht="13.5" thickBot="1">
      <c r="B19" s="68"/>
      <c r="C19" s="83" t="s">
        <v>16</v>
      </c>
      <c r="D19" s="58"/>
      <c r="E19" s="84"/>
      <c r="F19" s="69">
        <f>J19*G19+J20*G20+J21*G21</f>
        <v>48637.095038310275</v>
      </c>
      <c r="G19" s="70">
        <f>Effects!C$20</f>
        <v>0.1</v>
      </c>
      <c r="H19" s="71">
        <f>Effects!B$20</f>
        <v>0</v>
      </c>
      <c r="I19" s="58"/>
      <c r="J19" s="72">
        <f>B$26+C$20+C$21+(B$27*(1+E20))*(1+H19)</f>
        <v>46248.345038310275</v>
      </c>
      <c r="P19" s="54"/>
      <c r="Q19" s="54"/>
      <c r="R19" s="57"/>
      <c r="S19" s="54"/>
    </row>
    <row r="20" spans="1:19" ht="13.5" thickBot="1">
      <c r="A20" s="64" t="s">
        <v>17</v>
      </c>
      <c r="B20" s="68"/>
      <c r="C20" s="85">
        <f>-'Option 1'!J40</f>
        <v>-9348.699672958073</v>
      </c>
      <c r="E20" s="81">
        <f>Effects!B12</f>
        <v>0.25</v>
      </c>
      <c r="F20" s="58"/>
      <c r="G20" s="70">
        <f>Effects!C$21</f>
        <v>0.5</v>
      </c>
      <c r="H20" s="71">
        <f>Effects!B$21</f>
        <v>0.05</v>
      </c>
      <c r="I20" s="58"/>
      <c r="J20" s="72">
        <f>B$26+C$20+C$21+(B$27*(1+E$20))*(1+H20)</f>
        <v>48085.845038310275</v>
      </c>
      <c r="P20" s="54"/>
      <c r="Q20" s="54"/>
      <c r="R20" s="54"/>
      <c r="S20" s="54"/>
    </row>
    <row r="21" spans="2:20" ht="13.5" thickBot="1">
      <c r="B21" s="68"/>
      <c r="C21" s="85">
        <f>-'Option 1'!J36</f>
        <v>-2400</v>
      </c>
      <c r="E21" s="76">
        <f>Effects!C12</f>
        <v>0.3</v>
      </c>
      <c r="F21" s="61"/>
      <c r="G21" s="70">
        <f>Effects!C$22</f>
        <v>0.4</v>
      </c>
      <c r="H21" s="71">
        <f>Effects!B$22</f>
        <v>0.1</v>
      </c>
      <c r="I21" s="58"/>
      <c r="J21" s="72">
        <f>B$26+C$20+C$21+(B$27*(1+E$20))*(1+H21)</f>
        <v>49923.345038310275</v>
      </c>
      <c r="P21" s="54"/>
      <c r="Q21" s="54"/>
      <c r="R21" s="54"/>
      <c r="S21" s="54"/>
      <c r="T21" s="73"/>
    </row>
    <row r="22" spans="2:19" ht="12.75">
      <c r="B22" s="86">
        <f>MAX(D18,D31)</f>
        <v>47854.320038310274</v>
      </c>
      <c r="C22" s="87"/>
      <c r="E22" s="77"/>
      <c r="F22" s="61"/>
      <c r="G22" s="78"/>
      <c r="H22" s="79"/>
      <c r="J22" s="72"/>
      <c r="P22" s="54"/>
      <c r="Q22" s="54"/>
      <c r="R22" s="54"/>
      <c r="S22" s="54"/>
    </row>
    <row r="23" spans="1:19" ht="13.5" thickBot="1">
      <c r="A23" s="64" t="s">
        <v>18</v>
      </c>
      <c r="B23" s="68"/>
      <c r="C23" s="68"/>
      <c r="E23" s="68"/>
      <c r="F23" s="69">
        <f>J23*G23+J24*G24+J25*G25</f>
        <v>72120.34503831028</v>
      </c>
      <c r="G23" s="70">
        <f>Effects!C$20</f>
        <v>0.1</v>
      </c>
      <c r="H23" s="71">
        <f>Effects!B$20</f>
        <v>0</v>
      </c>
      <c r="I23" s="58"/>
      <c r="J23" s="72">
        <f>B$26+C$20+C$21+(B$27*(1+E$24))*(1+H23)</f>
        <v>68298.34503831028</v>
      </c>
      <c r="P23" s="54"/>
      <c r="Q23" s="54"/>
      <c r="R23" s="54"/>
      <c r="S23" s="54"/>
    </row>
    <row r="24" spans="1:19" ht="13.5" thickBot="1">
      <c r="A24" s="88">
        <f>Effects!C28</f>
        <v>0.05</v>
      </c>
      <c r="B24" s="89"/>
      <c r="E24" s="81">
        <f>Effects!B13</f>
        <v>1</v>
      </c>
      <c r="F24" s="58"/>
      <c r="G24" s="70">
        <f>Effects!C$21</f>
        <v>0.5</v>
      </c>
      <c r="H24" s="71">
        <f>Effects!B$21</f>
        <v>0.05</v>
      </c>
      <c r="I24" s="58"/>
      <c r="J24" s="72">
        <f>B$26+C$20+C$21+(B$27*(1+E$24))*(1+H24)</f>
        <v>71238.34503831028</v>
      </c>
      <c r="P24" s="54"/>
      <c r="Q24" s="54"/>
      <c r="R24" s="53"/>
      <c r="S24" s="54"/>
    </row>
    <row r="25" spans="5:10" ht="13.5" thickBot="1">
      <c r="E25" s="90">
        <f>Effects!C13</f>
        <v>0.1</v>
      </c>
      <c r="G25" s="70">
        <f>Effects!C$22</f>
        <v>0.4</v>
      </c>
      <c r="H25" s="71">
        <f>Effects!B$22</f>
        <v>0.1</v>
      </c>
      <c r="I25" s="58"/>
      <c r="J25" s="72">
        <f>B$26+C$20+C$21+(B$27*(1+E$24))*(1+H25)</f>
        <v>74178.34503831029</v>
      </c>
    </row>
    <row r="26" spans="2:10" ht="12.75">
      <c r="B26" s="91">
        <f>Lot!J20</f>
        <v>21247.04471126835</v>
      </c>
      <c r="C26" s="68"/>
      <c r="D26" s="92" t="s">
        <v>2</v>
      </c>
      <c r="E26" s="92"/>
      <c r="F26" s="92"/>
      <c r="G26" s="92" t="s">
        <v>15</v>
      </c>
      <c r="H26" s="92"/>
      <c r="J26" s="93"/>
    </row>
    <row r="27" spans="1:10" ht="12.75">
      <c r="A27" s="64"/>
      <c r="B27" s="94">
        <f>Effects!C32*(1+A24)</f>
        <v>29400</v>
      </c>
      <c r="C27" s="68"/>
      <c r="J27" s="93"/>
    </row>
    <row r="28" spans="2:10" ht="12.75">
      <c r="B28" s="95"/>
      <c r="C28" s="68"/>
      <c r="J28" s="93"/>
    </row>
    <row r="29" spans="2:10" ht="12.75">
      <c r="B29" s="96"/>
      <c r="C29" s="68"/>
      <c r="J29" s="93"/>
    </row>
    <row r="30" spans="2:10" ht="12.75">
      <c r="B30" s="95"/>
      <c r="C30" s="68"/>
      <c r="J30" s="93"/>
    </row>
    <row r="31" spans="3:10" ht="13.5" thickBot="1">
      <c r="C31" s="68"/>
      <c r="D31" s="69">
        <f>J31*E31+J32*E32+J33*E33</f>
        <v>44958.99040366248</v>
      </c>
      <c r="E31" s="70">
        <f>Effects!C20</f>
        <v>0.1</v>
      </c>
      <c r="F31" s="71">
        <f>Effects!B20</f>
        <v>0</v>
      </c>
      <c r="G31" s="58"/>
      <c r="H31" s="58"/>
      <c r="I31" s="58"/>
      <c r="J31" s="72">
        <f>B$26+C$33+C$34+B$27*(1+F31)</f>
        <v>43047.99040366248</v>
      </c>
    </row>
    <row r="32" spans="3:10" ht="13.5" thickBot="1">
      <c r="C32" s="89" t="s">
        <v>20</v>
      </c>
      <c r="D32" s="58"/>
      <c r="E32" s="70">
        <f>Effects!C21</f>
        <v>0.5</v>
      </c>
      <c r="F32" s="71">
        <f>Effects!B21</f>
        <v>0.05</v>
      </c>
      <c r="G32" s="58"/>
      <c r="H32" s="58"/>
      <c r="I32" s="58"/>
      <c r="J32" s="72">
        <f>B$26+C$33+C$34+B$27*(1+F32)</f>
        <v>44517.99040366248</v>
      </c>
    </row>
    <row r="33" spans="3:10" ht="13.5" thickBot="1">
      <c r="C33" s="91">
        <f>-'Option 2'!G59</f>
        <v>-6799.054307605871</v>
      </c>
      <c r="E33" s="70">
        <f>Effects!C22</f>
        <v>0.4</v>
      </c>
      <c r="F33" s="71">
        <f>Effects!B22</f>
        <v>0.1</v>
      </c>
      <c r="G33" s="58"/>
      <c r="H33" s="58"/>
      <c r="I33" s="58"/>
      <c r="J33" s="72">
        <f>B$26+C$33+C$34+B$27*(1+F33)</f>
        <v>45987.99040366248</v>
      </c>
    </row>
    <row r="34" spans="3:6" ht="12.75">
      <c r="C34" s="97">
        <f>-'Option 2'!G55</f>
        <v>-800</v>
      </c>
      <c r="E34" s="92" t="s">
        <v>15</v>
      </c>
      <c r="F34" s="92"/>
    </row>
  </sheetData>
  <sheetProtection/>
  <mergeCells count="4">
    <mergeCell ref="L8:N8"/>
    <mergeCell ref="O8:Q8"/>
    <mergeCell ref="L7:Q7"/>
    <mergeCell ref="A5:J5"/>
  </mergeCells>
  <dataValidations count="1">
    <dataValidation type="whole" allowBlank="1" showInputMessage="1" showErrorMessage="1" errorTitle="error" error="number should be between 1 and 10" sqref="T2">
      <formula1>1</formula1>
      <formula2>10</formula2>
    </dataValidation>
  </dataValidations>
  <printOptions/>
  <pageMargins left="0.63" right="0.33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drumdj</dc:creator>
  <cp:keywords/>
  <dc:description/>
  <cp:lastModifiedBy>Ammar</cp:lastModifiedBy>
  <dcterms:created xsi:type="dcterms:W3CDTF">2007-04-12T12:39:14Z</dcterms:created>
  <dcterms:modified xsi:type="dcterms:W3CDTF">2007-04-30T21:28:06Z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