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firstSheet="3" activeTab="4"/>
  </bookViews>
  <sheets>
    <sheet name="Optimal with swaps" sheetId="1" r:id="rId1"/>
    <sheet name="Optimal with both  discount " sheetId="2" r:id="rId2"/>
    <sheet name="Optimal with one  discount" sheetId="3" r:id="rId3"/>
    <sheet name="Optimal with equal utiliz" sheetId="4" r:id="rId4"/>
    <sheet name="Sensitivity Report optimal" sheetId="5" r:id="rId5"/>
    <sheet name="Optimal" sheetId="6" r:id="rId6"/>
    <sheet name="Current Allocation" sheetId="7" r:id="rId7"/>
    <sheet name="Sheet2" sheetId="8" r:id="rId8"/>
    <sheet name="Sheet3" sheetId="9" r:id="rId9"/>
  </sheets>
  <definedNames>
    <definedName name="solver_adj" localSheetId="5" hidden="1">'Optimal'!$C$21:$E$29</definedName>
    <definedName name="solver_adj" localSheetId="1" hidden="1">'Optimal with both  discount '!$C$21:$E$29</definedName>
    <definedName name="solver_adj" localSheetId="3" hidden="1">'Optimal with equal utiliz'!$C$21:$E$29</definedName>
    <definedName name="solver_adj" localSheetId="2" hidden="1">'Optimal with one  discount'!$C$21:$E$29</definedName>
    <definedName name="solver_adj" localSheetId="0" hidden="1">'Optimal with swaps'!$C$21:$E$29</definedName>
    <definedName name="solver_cvg" localSheetId="5" hidden="1">0.0001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cvg" localSheetId="0" hidden="1">0.0001</definedName>
    <definedName name="solver_drv" localSheetId="5" hidden="1">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drv" localSheetId="0" hidden="1">1</definedName>
    <definedName name="solver_est" localSheetId="5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est" localSheetId="0" hidden="1">1</definedName>
    <definedName name="solver_itr" localSheetId="5" hidden="1">100</definedName>
    <definedName name="solver_itr" localSheetId="1" hidden="1">100</definedName>
    <definedName name="solver_itr" localSheetId="3" hidden="1">100</definedName>
    <definedName name="solver_itr" localSheetId="2" hidden="1">100</definedName>
    <definedName name="solver_itr" localSheetId="0" hidden="1">100</definedName>
    <definedName name="solver_lhs1" localSheetId="5" hidden="1">'Optimal'!$F$21:$F$29</definedName>
    <definedName name="solver_lhs1" localSheetId="1" hidden="1">'Optimal with both  discount '!$F$21:$F$29</definedName>
    <definedName name="solver_lhs1" localSheetId="3" hidden="1">'Optimal with equal utiliz'!$F$21:$F$29</definedName>
    <definedName name="solver_lhs1" localSheetId="2" hidden="1">'Optimal with one  discount'!$F$21:$F$29</definedName>
    <definedName name="solver_lhs1" localSheetId="0" hidden="1">'Optimal with swaps'!$F$21:$F$29</definedName>
    <definedName name="solver_lhs2" localSheetId="5" hidden="1">'Optimal'!$C$30:$E$30</definedName>
    <definedName name="solver_lhs2" localSheetId="1" hidden="1">'Optimal with both  discount '!$C$30:$E$30</definedName>
    <definedName name="solver_lhs2" localSheetId="3" hidden="1">'Optimal with equal utiliz'!$C$30:$E$30</definedName>
    <definedName name="solver_lhs2" localSheetId="2" hidden="1">'Optimal with one  discount'!$C$30:$E$30</definedName>
    <definedName name="solver_lhs2" localSheetId="0" hidden="1">'Optimal with swaps'!$C$30:$E$30</definedName>
    <definedName name="solver_lhs3" localSheetId="5" hidden="1">'Optimal'!$C$30:$E$30</definedName>
    <definedName name="solver_lhs3" localSheetId="1" hidden="1">'Optimal with both  discount '!$C$30:$E$30</definedName>
    <definedName name="solver_lhs3" localSheetId="3" hidden="1">'Optimal with equal utiliz'!$C$30:$E$30</definedName>
    <definedName name="solver_lhs3" localSheetId="2" hidden="1">'Optimal with one  discount'!$C$30:$E$30</definedName>
    <definedName name="solver_lhs3" localSheetId="0" hidden="1">'Optimal with swaps'!$C$30:$E$30</definedName>
    <definedName name="solver_lhs4" localSheetId="1" hidden="1">'Optimal with both  discount '!$D$26</definedName>
    <definedName name="solver_lhs4" localSheetId="3" hidden="1">'Optimal with equal utiliz'!$C$32</definedName>
    <definedName name="solver_lhs5" localSheetId="3" hidden="1">'Optimal with equal utiliz'!$D$32</definedName>
    <definedName name="solver_lin" localSheetId="5" hidden="1">1</definedName>
    <definedName name="solver_lin" localSheetId="1" hidden="1">1</definedName>
    <definedName name="solver_lin" localSheetId="3" hidden="1">1</definedName>
    <definedName name="solver_lin" localSheetId="2" hidden="1">1</definedName>
    <definedName name="solver_lin" localSheetId="0" hidden="1">1</definedName>
    <definedName name="solver_neg" localSheetId="5" hidden="1">1</definedName>
    <definedName name="solver_neg" localSheetId="1" hidden="1">1</definedName>
    <definedName name="solver_neg" localSheetId="3" hidden="1">1</definedName>
    <definedName name="solver_neg" localSheetId="2" hidden="1">1</definedName>
    <definedName name="solver_neg" localSheetId="0" hidden="1">1</definedName>
    <definedName name="solver_num" localSheetId="5" hidden="1">3</definedName>
    <definedName name="solver_num" localSheetId="1" hidden="1">4</definedName>
    <definedName name="solver_num" localSheetId="3" hidden="1">5</definedName>
    <definedName name="solver_num" localSheetId="2" hidden="1">3</definedName>
    <definedName name="solver_num" localSheetId="0" hidden="1">3</definedName>
    <definedName name="solver_nwt" localSheetId="5" hidden="1">1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opt" localSheetId="5" hidden="1">'Optimal'!$I$23</definedName>
    <definedName name="solver_opt" localSheetId="1" hidden="1">'Optimal with both  discount '!$I$23</definedName>
    <definedName name="solver_opt" localSheetId="3" hidden="1">'Optimal with equal utiliz'!$I$23</definedName>
    <definedName name="solver_opt" localSheetId="2" hidden="1">'Optimal with one  discount'!$I$23</definedName>
    <definedName name="solver_opt" localSheetId="0" hidden="1">'Optimal with swaps'!$I$23</definedName>
    <definedName name="solver_pre" localSheetId="5" hidden="1">0.000001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pre" localSheetId="0" hidden="1">0.000001</definedName>
    <definedName name="solver_rel1" localSheetId="5" hidden="1">2</definedName>
    <definedName name="solver_rel1" localSheetId="1" hidden="1">2</definedName>
    <definedName name="solver_rel1" localSheetId="3" hidden="1">2</definedName>
    <definedName name="solver_rel1" localSheetId="2" hidden="1">2</definedName>
    <definedName name="solver_rel1" localSheetId="0" hidden="1">2</definedName>
    <definedName name="solver_rel2" localSheetId="5" hidden="1">1</definedName>
    <definedName name="solver_rel2" localSheetId="1" hidden="1">1</definedName>
    <definedName name="solver_rel2" localSheetId="3" hidden="1">1</definedName>
    <definedName name="solver_rel2" localSheetId="2" hidden="1">1</definedName>
    <definedName name="solver_rel2" localSheetId="0" hidden="1">1</definedName>
    <definedName name="solver_rel3" localSheetId="5" hidden="1">3</definedName>
    <definedName name="solver_rel3" localSheetId="1" hidden="1">3</definedName>
    <definedName name="solver_rel3" localSheetId="3" hidden="1">3</definedName>
    <definedName name="solver_rel3" localSheetId="2" hidden="1">3</definedName>
    <definedName name="solver_rel3" localSheetId="0" hidden="1">3</definedName>
    <definedName name="solver_rel4" localSheetId="1" hidden="1">3</definedName>
    <definedName name="solver_rel4" localSheetId="3" hidden="1">2</definedName>
    <definedName name="solver_rel5" localSheetId="3" hidden="1">2</definedName>
    <definedName name="solver_rhs1" localSheetId="5" hidden="1">'Optimal'!$F$4:$F$12</definedName>
    <definedName name="solver_rhs1" localSheetId="1" hidden="1">'Optimal with both  discount '!$F$4:$F$12</definedName>
    <definedName name="solver_rhs1" localSheetId="3" hidden="1">'Optimal with equal utiliz'!$F$4:$F$12</definedName>
    <definedName name="solver_rhs1" localSheetId="2" hidden="1">'Optimal with one  discount'!$F$4:$F$12</definedName>
    <definedName name="solver_rhs1" localSheetId="0" hidden="1">'Optimal with swaps'!$F$4:$F$12</definedName>
    <definedName name="solver_rhs2" localSheetId="5" hidden="1">'Optimal'!$C$14:$E$14</definedName>
    <definedName name="solver_rhs2" localSheetId="1" hidden="1">'Optimal with both  discount '!$C$14:$E$14</definedName>
    <definedName name="solver_rhs2" localSheetId="3" hidden="1">'Optimal with equal utiliz'!$C$14:$E$14</definedName>
    <definedName name="solver_rhs2" localSheetId="2" hidden="1">'Optimal with one  discount'!$C$14:$E$14</definedName>
    <definedName name="solver_rhs2" localSheetId="0" hidden="1">'Optimal with swaps'!$C$14:$E$14</definedName>
    <definedName name="solver_rhs3" localSheetId="5" hidden="1">'Optimal'!$C$15:$E$15</definedName>
    <definedName name="solver_rhs3" localSheetId="1" hidden="1">'Optimal with both  discount '!$C$15:$E$15</definedName>
    <definedName name="solver_rhs3" localSheetId="3" hidden="1">'Optimal with equal utiliz'!$C$15:$E$15</definedName>
    <definedName name="solver_rhs3" localSheetId="2" hidden="1">'Optimal with one  discount'!$C$15:$E$15</definedName>
    <definedName name="solver_rhs3" localSheetId="0" hidden="1">'Optimal with swaps'!$C$15:$E$15</definedName>
    <definedName name="solver_rhs4" localSheetId="1" hidden="1">100000</definedName>
    <definedName name="solver_rhs4" localSheetId="3" hidden="1">'Optimal with equal utiliz'!$D$32</definedName>
    <definedName name="solver_rhs5" localSheetId="3" hidden="1">'Optimal with equal utiliz'!$E$32</definedName>
    <definedName name="solver_scl" localSheetId="5" hidden="1">2</definedName>
    <definedName name="solver_scl" localSheetId="1" hidden="1">2</definedName>
    <definedName name="solver_scl" localSheetId="3" hidden="1">2</definedName>
    <definedName name="solver_scl" localSheetId="2" hidden="1">2</definedName>
    <definedName name="solver_scl" localSheetId="0" hidden="1">2</definedName>
    <definedName name="solver_sho" localSheetId="5" hidden="1">2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tim" localSheetId="5" hidden="1">100</definedName>
    <definedName name="solver_tim" localSheetId="1" hidden="1">100</definedName>
    <definedName name="solver_tim" localSheetId="3" hidden="1">100</definedName>
    <definedName name="solver_tim" localSheetId="2" hidden="1">100</definedName>
    <definedName name="solver_tim" localSheetId="0" hidden="1">100</definedName>
    <definedName name="solver_tol" localSheetId="5" hidden="1">0.05</definedName>
    <definedName name="solver_tol" localSheetId="1" hidden="1">0.05</definedName>
    <definedName name="solver_tol" localSheetId="3" hidden="1">0.05</definedName>
    <definedName name="solver_tol" localSheetId="2" hidden="1">0.05</definedName>
    <definedName name="solver_tol" localSheetId="0" hidden="1">0.05</definedName>
    <definedName name="solver_typ" localSheetId="5" hidden="1">1</definedName>
    <definedName name="solver_typ" localSheetId="1" hidden="1">1</definedName>
    <definedName name="solver_typ" localSheetId="3" hidden="1">1</definedName>
    <definedName name="solver_typ" localSheetId="2" hidden="1">1</definedName>
    <definedName name="solver_typ" localSheetId="0" hidden="1">1</definedName>
    <definedName name="solver_val" localSheetId="5" hidden="1">0</definedName>
    <definedName name="solver_val" localSheetId="1" hidden="1">0</definedName>
    <definedName name="solver_val" localSheetId="3" hidden="1">0</definedName>
    <definedName name="solver_val" localSheetId="2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<sst xmlns="http://schemas.openxmlformats.org/spreadsheetml/2006/main" count="500" uniqueCount="183">
  <si>
    <t>Mills</t>
  </si>
  <si>
    <t>Spruce Mills</t>
  </si>
  <si>
    <t>Naomee Mills</t>
  </si>
  <si>
    <t>Duchesne</t>
  </si>
  <si>
    <t>Centers</t>
  </si>
  <si>
    <t>Seattle</t>
  </si>
  <si>
    <t>Chicago</t>
  </si>
  <si>
    <t>Dallas</t>
  </si>
  <si>
    <t>New Orleans</t>
  </si>
  <si>
    <t>Denver</t>
  </si>
  <si>
    <t>Los Angeles</t>
  </si>
  <si>
    <t>San Fransisco</t>
  </si>
  <si>
    <t>Vancouver</t>
  </si>
  <si>
    <t>Calgary</t>
  </si>
  <si>
    <t>Capacity</t>
  </si>
  <si>
    <t>Minimum</t>
  </si>
  <si>
    <t>Assumption</t>
  </si>
  <si>
    <t>Even out the utilization of the mills.</t>
  </si>
  <si>
    <t>Interpreted as each mill should operate 6 out of the 7 days or</t>
  </si>
  <si>
    <t>Industry standard is 85%</t>
  </si>
  <si>
    <t>Demand</t>
  </si>
  <si>
    <t>Revenue</t>
  </si>
  <si>
    <t>Production Cost</t>
  </si>
  <si>
    <t>Prices will stay the same</t>
  </si>
  <si>
    <t>decision Variables</t>
  </si>
  <si>
    <t>Maximize profit even though minimizing cost is the same in this example</t>
  </si>
  <si>
    <t>Cost matrix</t>
  </si>
  <si>
    <t>Profit per unit</t>
  </si>
  <si>
    <t>Total Profit</t>
  </si>
  <si>
    <t>Total</t>
  </si>
  <si>
    <t>Feasible</t>
  </si>
  <si>
    <t>Utilization</t>
  </si>
  <si>
    <t>Good</t>
  </si>
  <si>
    <t>Feasible and optimal</t>
  </si>
  <si>
    <t>Difference from current</t>
  </si>
  <si>
    <t>Bad?</t>
  </si>
  <si>
    <t>Feasible and optimal with equal utilization</t>
  </si>
  <si>
    <t>Difference from optimal</t>
  </si>
  <si>
    <t>Profit</t>
  </si>
  <si>
    <t>Optimal</t>
  </si>
  <si>
    <t>Current with equal utiliz</t>
  </si>
  <si>
    <t>Optimal with equal Utiliz</t>
  </si>
  <si>
    <t>Microsoft Excel 10.0 Sensitivity Report</t>
  </si>
  <si>
    <t>Worksheet: [Model.xls]Optimal</t>
  </si>
  <si>
    <t>Report Created: 3/23/2004 1:33:30 PM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</si>
  <si>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</si>
  <si>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</si>
  <si>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</si>
  <si>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</si>
  <si>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</si>
  <si>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</si>
  <si>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</si>
  <si>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</si>
  <si>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</si>
  <si>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</si>
  <si>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</si>
  <si>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</si>
  <si>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</si>
  <si>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</si>
  <si>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</si>
  <si>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</si>
  <si>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</si>
  <si>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$C$21</t>
  </si>
  <si>
    <t>Seattle Spruce Mills</t>
  </si>
  <si>
    <t>$D$21</t>
  </si>
  <si>
    <t>Seattle Naomee Mills</t>
  </si>
  <si>
    <t>$E$21</t>
  </si>
  <si>
    <t>Seattle Duchesne</t>
  </si>
  <si>
    <t>$C$22</t>
  </si>
  <si>
    <t>Chicago Spruce Mills</t>
  </si>
  <si>
    <t>$D$22</t>
  </si>
  <si>
    <t>Chicago Naomee Mills</t>
  </si>
  <si>
    <t>$E$22</t>
  </si>
  <si>
    <t>Chicago Duchesne</t>
  </si>
  <si>
    <t>$C$23</t>
  </si>
  <si>
    <t>Dallas Spruce Mills</t>
  </si>
  <si>
    <t>$D$23</t>
  </si>
  <si>
    <t>Dallas Naomee Mills</t>
  </si>
  <si>
    <t>$E$23</t>
  </si>
  <si>
    <t>Dallas Duchesne</t>
  </si>
  <si>
    <t>$C$24</t>
  </si>
  <si>
    <t>New Orleans Spruce Mills</t>
  </si>
  <si>
    <t>$D$24</t>
  </si>
  <si>
    <t>New Orleans Naomee Mills</t>
  </si>
  <si>
    <t>$E$24</t>
  </si>
  <si>
    <t>New Orleans Duchesne</t>
  </si>
  <si>
    <t>$C$25</t>
  </si>
  <si>
    <t>Denver Spruce Mills</t>
  </si>
  <si>
    <t>$D$25</t>
  </si>
  <si>
    <t>Denver Naomee Mills</t>
  </si>
  <si>
    <t>$E$25</t>
  </si>
  <si>
    <t>Denver Duchesne</t>
  </si>
  <si>
    <t>$C$26</t>
  </si>
  <si>
    <t>Los Angeles Spruce Mills</t>
  </si>
  <si>
    <t>$D$26</t>
  </si>
  <si>
    <t>Los Angeles Naomee Mills</t>
  </si>
  <si>
    <t>$E$26</t>
  </si>
  <si>
    <t>Los Angeles Duchesne</t>
  </si>
  <si>
    <t>$C$27</t>
  </si>
  <si>
    <t>San Fransisco Spruce Mills</t>
  </si>
  <si>
    <t>$D$27</t>
  </si>
  <si>
    <t>San Fransisco Naomee Mills</t>
  </si>
  <si>
    <t>$E$27</t>
  </si>
  <si>
    <t>San Fransisco Duchesne</t>
  </si>
  <si>
    <t>$C$28</t>
  </si>
  <si>
    <t>Vancouver Spruce Mills</t>
  </si>
  <si>
    <t>$D$28</t>
  </si>
  <si>
    <t>Vancouver Naomee Mills</t>
  </si>
  <si>
    <t>$E$28</t>
  </si>
  <si>
    <t>Vancouver Duchesne</t>
  </si>
  <si>
    <t>$C$29</t>
  </si>
  <si>
    <t>Calgary Spruce Mills</t>
  </si>
  <si>
    <t>$D$29</t>
  </si>
  <si>
    <t>Calgary Naomee Mills</t>
  </si>
  <si>
    <t>$E$29</t>
  </si>
  <si>
    <t>Calgary Duchesne</t>
  </si>
  <si>
    <t>$F$21</t>
  </si>
  <si>
    <t>Seattle Total</t>
  </si>
  <si>
    <t>$F$22</t>
  </si>
  <si>
    <t>Chicago Total</t>
  </si>
  <si>
    <t>$F$23</t>
  </si>
  <si>
    <t>Dallas Total</t>
  </si>
  <si>
    <t>$F$24</t>
  </si>
  <si>
    <t>New Orleans Total</t>
  </si>
  <si>
    <t>$F$25</t>
  </si>
  <si>
    <t>Denver Total</t>
  </si>
  <si>
    <t>$F$26</t>
  </si>
  <si>
    <t>Los Angeles Total</t>
  </si>
  <si>
    <t>$F$27</t>
  </si>
  <si>
    <t>San Fransisco Total</t>
  </si>
  <si>
    <t>$F$28</t>
  </si>
  <si>
    <t>Vancouver Total</t>
  </si>
  <si>
    <t>$F$29</t>
  </si>
  <si>
    <t>Calgary Total</t>
  </si>
  <si>
    <t>$C$30</t>
  </si>
  <si>
    <t>Total Spruce Mills</t>
  </si>
  <si>
    <t>$D$30</t>
  </si>
  <si>
    <t>Total Naomee Mills</t>
  </si>
  <si>
    <t>$E$30</t>
  </si>
  <si>
    <t>Total Duchesne</t>
  </si>
  <si>
    <t xml:space="preserve">Range in changes in profit </t>
  </si>
  <si>
    <t>for which solution is same</t>
  </si>
  <si>
    <t>Discount of 5%</t>
  </si>
  <si>
    <t>only Duchesne to Los Angeles has a quantity more than 100000</t>
  </si>
  <si>
    <t>A discount of 5% = 7.5</t>
  </si>
  <si>
    <t>within the range for which the solution is the same</t>
  </si>
  <si>
    <t>Don't need to resolve</t>
  </si>
  <si>
    <t>Change in profit from optimal with discounts = 864,715</t>
  </si>
  <si>
    <t>The profit would increase by 7.5</t>
  </si>
  <si>
    <t>Duchesne to LA</t>
  </si>
  <si>
    <t>Naomee Mills to LA</t>
  </si>
  <si>
    <t>Discount (one)</t>
  </si>
  <si>
    <t>Discount (two)</t>
  </si>
  <si>
    <t>Naomee mills to LA is close to 100000</t>
  </si>
  <si>
    <t>A discount = 7.4</t>
  </si>
  <si>
    <t>The solution will change</t>
  </si>
  <si>
    <t>Add a constraint that forces the cell to have 100000</t>
  </si>
  <si>
    <t>Change in profit from optimal with both discounts =1,567,318</t>
  </si>
  <si>
    <t>Assumption: decision was made that utilization need not be equal as long as more than 6/7 for each.</t>
  </si>
  <si>
    <t>Range for which</t>
  </si>
  <si>
    <t>the shadow price is valid</t>
  </si>
  <si>
    <t>demand constraint</t>
  </si>
  <si>
    <t>supply &lt;= capacity</t>
  </si>
  <si>
    <t>supply &gt;= minimum</t>
  </si>
  <si>
    <t>shadow price is zero b/c they are non binding</t>
  </si>
  <si>
    <t>shadow price is - 54 and - 57 for the other two</t>
  </si>
  <si>
    <t>shadow price is zero for fist b/c non binding</t>
  </si>
  <si>
    <t>b/c binding or every tonne cost us 54 or 57 respectively</t>
  </si>
  <si>
    <t>supply</t>
  </si>
  <si>
    <t>demand</t>
  </si>
  <si>
    <t>shadow price is positive for all centers</t>
  </si>
  <si>
    <t>more demand will give more profit by shadow price</t>
  </si>
  <si>
    <t>and vice versa</t>
  </si>
  <si>
    <t>Center</t>
  </si>
  <si>
    <t>Shadow Price</t>
  </si>
  <si>
    <t xml:space="preserve">swaps of lower centers for higher centers </t>
  </si>
  <si>
    <t>(in this sorted list) would increase profit</t>
  </si>
  <si>
    <t>The most increased profit would come from</t>
  </si>
  <si>
    <t>swaps between New Orleans and Seattle</t>
  </si>
  <si>
    <t>Amount for which the shadow price is valid is 7851</t>
  </si>
  <si>
    <t xml:space="preserve">Minimum between the allowable increase in Seattle and allowable </t>
  </si>
  <si>
    <t>decrease in New Orleans</t>
  </si>
  <si>
    <t>The increase in profit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</si>
</sst>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_(* #,##0.0_);_(* \(#,##0.0\);_(* &quot;-&quot;??_);_(@_)"/>
    <numFmt numFmtId="168" formatCode="_(* #,##0_);_(* \(#,##0\);_(* &quot;-&quot;??_);_(@_)"/>
    <numFmt numFmtId="169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0" xfId="21" applyAlignment="1">
      <alignment/>
    </xf>
    <xf numFmtId="0" fontId="0" fillId="2" borderId="1" xfId="0" applyFill="1" applyBorder="1" applyAlignment="1">
      <alignment horizontal="center"/>
    </xf>
    <xf numFmtId="168" fontId="0" fillId="3" borderId="0" xfId="15" applyNumberFormat="1" applyFill="1" applyAlignment="1">
      <alignment/>
    </xf>
    <xf numFmtId="9" fontId="0" fillId="0" borderId="1" xfId="21" applyBorder="1" applyAlignment="1">
      <alignment horizontal="center"/>
    </xf>
    <xf numFmtId="168" fontId="0" fillId="3" borderId="0" xfId="15" applyNumberFormat="1" applyFill="1" applyAlignment="1">
      <alignment/>
    </xf>
    <xf numFmtId="9" fontId="0" fillId="0" borderId="1" xfId="2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15" applyNumberFormat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Fill="1" applyBorder="1" applyAlignment="1">
      <alignment/>
    </xf>
    <xf numFmtId="0" fontId="3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zoomScale="150" zoomScaleNormal="150" workbookViewId="0" topLeftCell="D15">
      <selection activeCell="J28" sqref="J28"/>
    </sheetView>
  </sheetViews>
  <sheetFormatPr defaultColWidth="9.140625" defaultRowHeight="12.75"/>
  <cols>
    <col min="2" max="2" width="14.421875" style="0" bestFit="1" customWidth="1"/>
    <col min="3" max="3" width="12.00390625" style="0" bestFit="1" customWidth="1"/>
    <col min="4" max="4" width="12.7109375" style="0" bestFit="1" customWidth="1"/>
    <col min="5" max="5" width="12.00390625" style="0" bestFit="1" customWidth="1"/>
    <col min="8" max="8" width="10.7109375" style="0" customWidth="1"/>
    <col min="9" max="9" width="15.57421875" style="0" bestFit="1" customWidth="1"/>
    <col min="10" max="10" width="13.140625" style="0" customWidth="1"/>
  </cols>
  <sheetData>
    <row r="1" spans="3:11" ht="12.75">
      <c r="C1" t="s">
        <v>26</v>
      </c>
      <c r="K1" t="s">
        <v>27</v>
      </c>
    </row>
    <row r="2" spans="2:4" ht="12.75">
      <c r="B2" t="s">
        <v>4</v>
      </c>
      <c r="D2" s="1" t="s">
        <v>0</v>
      </c>
    </row>
    <row r="3" spans="3:13" ht="12.75">
      <c r="C3" t="s">
        <v>1</v>
      </c>
      <c r="D3" t="s">
        <v>2</v>
      </c>
      <c r="E3" t="s">
        <v>3</v>
      </c>
      <c r="F3" t="s">
        <v>20</v>
      </c>
      <c r="G3" t="s">
        <v>21</v>
      </c>
      <c r="K3" t="s">
        <v>1</v>
      </c>
      <c r="L3" t="s">
        <v>2</v>
      </c>
      <c r="M3" t="s">
        <v>3</v>
      </c>
    </row>
    <row r="4" spans="2:13" ht="12.75">
      <c r="B4" t="s">
        <v>5</v>
      </c>
      <c r="C4" s="2"/>
      <c r="D4" s="2">
        <v>46.68</v>
      </c>
      <c r="E4" s="2">
        <v>52.8</v>
      </c>
      <c r="F4" s="2">
        <f>40727+7851</f>
        <v>48578</v>
      </c>
      <c r="G4" s="3">
        <v>750</v>
      </c>
      <c r="J4" t="s">
        <v>5</v>
      </c>
      <c r="K4" s="2"/>
      <c r="L4" s="2">
        <f aca="true" t="shared" si="0" ref="L4:L12">G4-D4-$D$17</f>
        <v>288.32000000000005</v>
      </c>
      <c r="M4" s="2">
        <f aca="true" t="shared" si="1" ref="M4:M12">G4-E4-$E$17</f>
        <v>282.20000000000005</v>
      </c>
    </row>
    <row r="5" spans="2:13" ht="12.75">
      <c r="B5" t="s">
        <v>6</v>
      </c>
      <c r="C5" s="2">
        <v>89.77</v>
      </c>
      <c r="D5" s="2">
        <v>128.82</v>
      </c>
      <c r="E5" s="2">
        <v>97.17</v>
      </c>
      <c r="F5" s="3">
        <v>55608</v>
      </c>
      <c r="G5" s="3">
        <v>750</v>
      </c>
      <c r="J5" t="s">
        <v>6</v>
      </c>
      <c r="K5" s="2">
        <f>G5-C5-$C$17</f>
        <v>270.23</v>
      </c>
      <c r="L5" s="2">
        <f t="shared" si="0"/>
        <v>206.18000000000006</v>
      </c>
      <c r="M5" s="2">
        <f t="shared" si="1"/>
        <v>237.83000000000004</v>
      </c>
    </row>
    <row r="6" spans="2:13" ht="12.75">
      <c r="B6" t="s">
        <v>7</v>
      </c>
      <c r="C6" s="2">
        <v>162.24</v>
      </c>
      <c r="D6" s="2">
        <v>204.13</v>
      </c>
      <c r="E6" s="2">
        <v>210.42</v>
      </c>
      <c r="F6" s="3">
        <v>92680</v>
      </c>
      <c r="G6" s="3">
        <v>750</v>
      </c>
      <c r="J6" t="s">
        <v>7</v>
      </c>
      <c r="K6" s="2">
        <f>G6-C6-$C$17</f>
        <v>197.76</v>
      </c>
      <c r="L6" s="2">
        <f t="shared" si="0"/>
        <v>130.87</v>
      </c>
      <c r="M6" s="2">
        <f t="shared" si="1"/>
        <v>124.58000000000004</v>
      </c>
    </row>
    <row r="7" spans="2:13" ht="12.75">
      <c r="B7" t="s">
        <v>8</v>
      </c>
      <c r="C7" s="2">
        <v>166.18</v>
      </c>
      <c r="D7" s="2">
        <v>195.08</v>
      </c>
      <c r="E7" s="2">
        <v>200.62</v>
      </c>
      <c r="F7" s="3">
        <f>92680-7851</f>
        <v>84829</v>
      </c>
      <c r="G7" s="3">
        <v>750</v>
      </c>
      <c r="J7" t="s">
        <v>8</v>
      </c>
      <c r="K7" s="2">
        <f>G7-C7-$C$17</f>
        <v>193.81999999999994</v>
      </c>
      <c r="L7" s="2">
        <f t="shared" si="0"/>
        <v>139.91999999999996</v>
      </c>
      <c r="M7" s="2">
        <f t="shared" si="1"/>
        <v>134.38</v>
      </c>
    </row>
    <row r="8" spans="2:13" ht="12.75">
      <c r="B8" t="s">
        <v>9</v>
      </c>
      <c r="C8" s="2">
        <v>151.77</v>
      </c>
      <c r="D8" s="2">
        <v>162.83</v>
      </c>
      <c r="E8" s="2">
        <v>142.82</v>
      </c>
      <c r="F8" s="3">
        <v>23832</v>
      </c>
      <c r="G8" s="3">
        <v>750</v>
      </c>
      <c r="J8" t="s">
        <v>9</v>
      </c>
      <c r="K8" s="2">
        <f>G8-C8-$C$17</f>
        <v>208.23000000000002</v>
      </c>
      <c r="L8" s="2">
        <f t="shared" si="0"/>
        <v>172.16999999999996</v>
      </c>
      <c r="M8" s="2">
        <f t="shared" si="1"/>
        <v>192.18000000000006</v>
      </c>
    </row>
    <row r="9" spans="2:13" ht="12.75">
      <c r="B9" t="s">
        <v>10</v>
      </c>
      <c r="C9" s="2"/>
      <c r="D9" s="2">
        <v>147.46</v>
      </c>
      <c r="E9" s="2">
        <v>150.14</v>
      </c>
      <c r="F9" s="3">
        <v>211841</v>
      </c>
      <c r="G9" s="3">
        <v>750</v>
      </c>
      <c r="J9" t="s">
        <v>10</v>
      </c>
      <c r="K9" s="2"/>
      <c r="L9" s="2">
        <f t="shared" si="0"/>
        <v>187.53999999999996</v>
      </c>
      <c r="M9" s="2">
        <f t="shared" si="1"/>
        <v>184.86</v>
      </c>
    </row>
    <row r="10" spans="2:13" ht="12.75">
      <c r="B10" t="s">
        <v>11</v>
      </c>
      <c r="C10" s="2">
        <v>151.11</v>
      </c>
      <c r="D10" s="2">
        <v>115.49</v>
      </c>
      <c r="E10" s="2">
        <v>124.83</v>
      </c>
      <c r="F10" s="3">
        <v>52960</v>
      </c>
      <c r="G10" s="3">
        <v>750</v>
      </c>
      <c r="J10" t="s">
        <v>11</v>
      </c>
      <c r="K10" s="2">
        <f>G10-C10-$C$17</f>
        <v>208.89</v>
      </c>
      <c r="L10" s="2">
        <f t="shared" si="0"/>
        <v>219.51</v>
      </c>
      <c r="M10" s="2">
        <f t="shared" si="1"/>
        <v>210.16999999999996</v>
      </c>
    </row>
    <row r="11" spans="2:13" ht="12.75">
      <c r="B11" t="s">
        <v>12</v>
      </c>
      <c r="C11" s="2"/>
      <c r="D11" s="2">
        <v>72.42</v>
      </c>
      <c r="E11" s="2">
        <v>42.17</v>
      </c>
      <c r="F11" s="3">
        <v>32581</v>
      </c>
      <c r="G11" s="3">
        <v>700</v>
      </c>
      <c r="J11" t="s">
        <v>12</v>
      </c>
      <c r="K11" s="2"/>
      <c r="L11" s="2">
        <f t="shared" si="0"/>
        <v>212.58000000000004</v>
      </c>
      <c r="M11" s="2">
        <f t="shared" si="1"/>
        <v>242.83000000000004</v>
      </c>
    </row>
    <row r="12" spans="2:13" ht="12.75">
      <c r="B12" t="s">
        <v>13</v>
      </c>
      <c r="C12" s="2"/>
      <c r="D12" s="2">
        <v>77.5</v>
      </c>
      <c r="E12" s="2">
        <v>87.94</v>
      </c>
      <c r="F12" s="3">
        <v>8145</v>
      </c>
      <c r="G12" s="3">
        <v>700</v>
      </c>
      <c r="J12" t="s">
        <v>13</v>
      </c>
      <c r="K12" s="2"/>
      <c r="L12" s="2">
        <f t="shared" si="0"/>
        <v>207.5</v>
      </c>
      <c r="M12" s="2">
        <f t="shared" si="1"/>
        <v>197.05999999999995</v>
      </c>
    </row>
    <row r="14" spans="2:5" ht="12.75">
      <c r="B14" t="s">
        <v>14</v>
      </c>
      <c r="C14" s="2">
        <v>166320</v>
      </c>
      <c r="D14" s="3">
        <v>272340</v>
      </c>
      <c r="E14" s="3">
        <v>265077</v>
      </c>
    </row>
    <row r="15" spans="2:5" ht="12.75">
      <c r="B15" t="s">
        <v>15</v>
      </c>
      <c r="C15" s="2">
        <f>6/7*C14</f>
        <v>142560</v>
      </c>
      <c r="D15" s="4">
        <f>6/7*D14</f>
        <v>233434.2857142857</v>
      </c>
      <c r="E15" s="4">
        <f>6/7*E14</f>
        <v>227208.85714285713</v>
      </c>
    </row>
    <row r="17" spans="2:5" ht="12.75">
      <c r="B17" t="s">
        <v>22</v>
      </c>
      <c r="C17" s="2">
        <v>390</v>
      </c>
      <c r="D17" s="2">
        <v>415</v>
      </c>
      <c r="E17" s="2">
        <v>415</v>
      </c>
    </row>
    <row r="19" ht="12.75">
      <c r="B19" t="s">
        <v>24</v>
      </c>
    </row>
    <row r="20" spans="3:6" ht="12.75">
      <c r="C20" t="s">
        <v>1</v>
      </c>
      <c r="D20" t="s">
        <v>2</v>
      </c>
      <c r="E20" t="s">
        <v>3</v>
      </c>
      <c r="F20" t="s">
        <v>29</v>
      </c>
    </row>
    <row r="21" spans="2:6" ht="12.75">
      <c r="B21" t="s">
        <v>5</v>
      </c>
      <c r="C21" s="11">
        <v>0</v>
      </c>
      <c r="D21" s="11">
        <v>48578.00000000583</v>
      </c>
      <c r="E21" s="11">
        <v>0</v>
      </c>
      <c r="F21" s="2">
        <f aca="true" t="shared" si="2" ref="F21:F29">SUM(C21:E21)</f>
        <v>48578.00000000583</v>
      </c>
    </row>
    <row r="22" spans="2:6" ht="12.75">
      <c r="B22" t="s">
        <v>6</v>
      </c>
      <c r="C22" s="11">
        <v>0</v>
      </c>
      <c r="D22" s="11">
        <v>0</v>
      </c>
      <c r="E22" s="11">
        <v>55608</v>
      </c>
      <c r="F22" s="2">
        <f t="shared" si="2"/>
        <v>55608</v>
      </c>
    </row>
    <row r="23" spans="2:9" ht="12.75">
      <c r="B23" t="s">
        <v>7</v>
      </c>
      <c r="C23" s="11">
        <v>92680</v>
      </c>
      <c r="D23" s="11">
        <v>0</v>
      </c>
      <c r="E23" s="11">
        <v>0</v>
      </c>
      <c r="F23" s="2">
        <f t="shared" si="2"/>
        <v>92680</v>
      </c>
      <c r="H23" t="s">
        <v>28</v>
      </c>
      <c r="I23" s="9">
        <f>SUMPRODUCT(C21:E29,K4:M12)</f>
        <v>125767596.05285423</v>
      </c>
    </row>
    <row r="24" spans="2:6" ht="12.75">
      <c r="B24" t="s">
        <v>8</v>
      </c>
      <c r="C24" s="11">
        <v>57730.85714281049</v>
      </c>
      <c r="D24" s="11">
        <v>27098.14285717458</v>
      </c>
      <c r="E24" s="11">
        <v>0</v>
      </c>
      <c r="F24" s="2">
        <f t="shared" si="2"/>
        <v>84828.99999998507</v>
      </c>
    </row>
    <row r="25" spans="2:9" ht="12.75">
      <c r="B25" t="s">
        <v>9</v>
      </c>
      <c r="C25" s="11">
        <v>0</v>
      </c>
      <c r="D25" s="11">
        <v>0</v>
      </c>
      <c r="E25" s="11">
        <v>23832</v>
      </c>
      <c r="F25" s="2">
        <f t="shared" si="2"/>
        <v>23832</v>
      </c>
      <c r="I25" t="s">
        <v>33</v>
      </c>
    </row>
    <row r="26" spans="2:6" ht="12.75">
      <c r="B26" t="s">
        <v>10</v>
      </c>
      <c r="C26" s="11">
        <v>0</v>
      </c>
      <c r="D26" s="11">
        <v>96653.1428571429</v>
      </c>
      <c r="E26" s="11">
        <v>115187.85714285713</v>
      </c>
      <c r="F26" s="2">
        <f t="shared" si="2"/>
        <v>211841.00000000003</v>
      </c>
    </row>
    <row r="27" spans="2:10" ht="12.75">
      <c r="B27" t="s">
        <v>11</v>
      </c>
      <c r="C27" s="11">
        <v>0</v>
      </c>
      <c r="D27" s="11">
        <v>52960</v>
      </c>
      <c r="E27" s="11">
        <v>0</v>
      </c>
      <c r="F27" s="2">
        <f t="shared" si="2"/>
        <v>52960</v>
      </c>
      <c r="H27" t="s">
        <v>37</v>
      </c>
      <c r="J27" s="12">
        <f>I23-Optimal!I23</f>
        <v>1165088.3999970853</v>
      </c>
    </row>
    <row r="28" spans="2:6" ht="12.75">
      <c r="B28" t="s">
        <v>12</v>
      </c>
      <c r="C28" s="11">
        <v>0</v>
      </c>
      <c r="D28" s="11">
        <v>0</v>
      </c>
      <c r="E28" s="11">
        <v>32581</v>
      </c>
      <c r="F28" s="2">
        <f t="shared" si="2"/>
        <v>32581</v>
      </c>
    </row>
    <row r="29" spans="2:6" ht="12.75">
      <c r="B29" t="s">
        <v>13</v>
      </c>
      <c r="C29" s="11">
        <v>0</v>
      </c>
      <c r="D29" s="11">
        <v>8145</v>
      </c>
      <c r="E29" s="11">
        <v>0</v>
      </c>
      <c r="F29" s="2">
        <f t="shared" si="2"/>
        <v>8145</v>
      </c>
    </row>
    <row r="30" spans="2:5" ht="12.75">
      <c r="B30" t="s">
        <v>29</v>
      </c>
      <c r="C30" s="4">
        <f>SUM(C21:C29)</f>
        <v>150410.85714281048</v>
      </c>
      <c r="D30" s="4">
        <f>SUM(D21:D29)</f>
        <v>233434.2857143233</v>
      </c>
      <c r="E30" s="4">
        <f>SUM(E21:E29)</f>
        <v>227208.85714285713</v>
      </c>
    </row>
    <row r="32" spans="2:7" ht="12.75">
      <c r="B32" t="s">
        <v>31</v>
      </c>
      <c r="C32" s="10">
        <f>C30/C14</f>
        <v>0.9043461829173309</v>
      </c>
      <c r="D32" s="10">
        <f>D30/D14</f>
        <v>0.8571428571429952</v>
      </c>
      <c r="E32" s="10">
        <f>E30/E14</f>
        <v>0.8571428571428571</v>
      </c>
      <c r="G32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2"/>
  <sheetViews>
    <sheetView zoomScale="150" zoomScaleNormal="150" workbookViewId="0" topLeftCell="A3">
      <selection activeCell="F27" sqref="F27:H27"/>
    </sheetView>
  </sheetViews>
  <sheetFormatPr defaultColWidth="9.140625" defaultRowHeight="12.75"/>
  <cols>
    <col min="2" max="2" width="14.421875" style="0" bestFit="1" customWidth="1"/>
    <col min="3" max="3" width="12.00390625" style="0" bestFit="1" customWidth="1"/>
    <col min="4" max="4" width="12.7109375" style="0" bestFit="1" customWidth="1"/>
    <col min="5" max="5" width="12.00390625" style="0" bestFit="1" customWidth="1"/>
    <col min="8" max="8" width="10.7109375" style="0" customWidth="1"/>
    <col min="9" max="9" width="15.57421875" style="0" bestFit="1" customWidth="1"/>
    <col min="10" max="10" width="13.140625" style="0" customWidth="1"/>
  </cols>
  <sheetData>
    <row r="1" spans="3:11" ht="12.75">
      <c r="C1" t="s">
        <v>26</v>
      </c>
      <c r="K1" t="s">
        <v>27</v>
      </c>
    </row>
    <row r="2" spans="2:4" ht="12.75">
      <c r="B2" t="s">
        <v>4</v>
      </c>
      <c r="D2" s="1" t="s">
        <v>0</v>
      </c>
    </row>
    <row r="3" spans="3:13" ht="12.75">
      <c r="C3" t="s">
        <v>1</v>
      </c>
      <c r="D3" t="s">
        <v>2</v>
      </c>
      <c r="E3" t="s">
        <v>3</v>
      </c>
      <c r="F3" t="s">
        <v>20</v>
      </c>
      <c r="G3" t="s">
        <v>21</v>
      </c>
      <c r="K3" t="s">
        <v>1</v>
      </c>
      <c r="L3" t="s">
        <v>2</v>
      </c>
      <c r="M3" t="s">
        <v>3</v>
      </c>
    </row>
    <row r="4" spans="2:13" ht="12.75">
      <c r="B4" t="s">
        <v>5</v>
      </c>
      <c r="C4" s="2"/>
      <c r="D4" s="2">
        <v>46.68</v>
      </c>
      <c r="E4" s="2">
        <v>52.8</v>
      </c>
      <c r="F4" s="2">
        <v>40727</v>
      </c>
      <c r="G4" s="3">
        <v>750</v>
      </c>
      <c r="J4" t="s">
        <v>5</v>
      </c>
      <c r="K4" s="2"/>
      <c r="L4" s="2">
        <f aca="true" t="shared" si="0" ref="L4:L12">G4-D4-$D$17</f>
        <v>288.32000000000005</v>
      </c>
      <c r="M4" s="2">
        <f aca="true" t="shared" si="1" ref="M4:M12">G4-E4-$E$17</f>
        <v>282.20000000000005</v>
      </c>
    </row>
    <row r="5" spans="2:13" ht="12.75">
      <c r="B5" t="s">
        <v>6</v>
      </c>
      <c r="C5" s="2">
        <v>89.77</v>
      </c>
      <c r="D5" s="2">
        <v>128.82</v>
      </c>
      <c r="E5" s="2">
        <v>97.17</v>
      </c>
      <c r="F5" s="3">
        <v>55608</v>
      </c>
      <c r="G5" s="3">
        <v>750</v>
      </c>
      <c r="J5" t="s">
        <v>6</v>
      </c>
      <c r="K5" s="2">
        <f>G5-C5-$C$17</f>
        <v>270.23</v>
      </c>
      <c r="L5" s="2">
        <f t="shared" si="0"/>
        <v>206.18000000000006</v>
      </c>
      <c r="M5" s="2">
        <f t="shared" si="1"/>
        <v>237.83000000000004</v>
      </c>
    </row>
    <row r="6" spans="2:13" ht="12.75">
      <c r="B6" t="s">
        <v>7</v>
      </c>
      <c r="C6" s="2">
        <v>162.24</v>
      </c>
      <c r="D6" s="2">
        <v>204.13</v>
      </c>
      <c r="E6" s="2">
        <v>210.42</v>
      </c>
      <c r="F6" s="3">
        <v>92680</v>
      </c>
      <c r="G6" s="3">
        <v>750</v>
      </c>
      <c r="J6" t="s">
        <v>7</v>
      </c>
      <c r="K6" s="2">
        <f>G6-C6-$C$17</f>
        <v>197.76</v>
      </c>
      <c r="L6" s="2">
        <f t="shared" si="0"/>
        <v>130.87</v>
      </c>
      <c r="M6" s="2">
        <f t="shared" si="1"/>
        <v>124.58000000000004</v>
      </c>
    </row>
    <row r="7" spans="2:13" ht="12.75">
      <c r="B7" t="s">
        <v>8</v>
      </c>
      <c r="C7" s="2">
        <v>166.18</v>
      </c>
      <c r="D7" s="2">
        <v>195.08</v>
      </c>
      <c r="E7" s="2">
        <v>200.62</v>
      </c>
      <c r="F7" s="3">
        <v>92680</v>
      </c>
      <c r="G7" s="3">
        <v>750</v>
      </c>
      <c r="J7" t="s">
        <v>8</v>
      </c>
      <c r="K7" s="2">
        <f>G7-C7-$C$17</f>
        <v>193.81999999999994</v>
      </c>
      <c r="L7" s="2">
        <f t="shared" si="0"/>
        <v>139.91999999999996</v>
      </c>
      <c r="M7" s="2">
        <f t="shared" si="1"/>
        <v>134.38</v>
      </c>
    </row>
    <row r="8" spans="2:13" ht="12.75">
      <c r="B8" t="s">
        <v>9</v>
      </c>
      <c r="C8" s="2">
        <v>151.77</v>
      </c>
      <c r="D8" s="2">
        <v>162.83</v>
      </c>
      <c r="E8" s="2">
        <v>142.82</v>
      </c>
      <c r="F8" s="3">
        <v>23832</v>
      </c>
      <c r="G8" s="3">
        <v>750</v>
      </c>
      <c r="H8" t="s">
        <v>149</v>
      </c>
      <c r="J8" t="s">
        <v>9</v>
      </c>
      <c r="K8" s="2">
        <f>G8-C8-$C$17</f>
        <v>208.23000000000002</v>
      </c>
      <c r="L8" s="2">
        <f t="shared" si="0"/>
        <v>172.16999999999996</v>
      </c>
      <c r="M8" s="2">
        <f t="shared" si="1"/>
        <v>192.18000000000006</v>
      </c>
    </row>
    <row r="9" spans="2:13" ht="12.75">
      <c r="B9" t="s">
        <v>10</v>
      </c>
      <c r="C9" s="2"/>
      <c r="D9" s="22">
        <f>0.95*147.46</f>
        <v>140.087</v>
      </c>
      <c r="E9" s="22">
        <f>0.95*150.14</f>
        <v>142.63299999999998</v>
      </c>
      <c r="F9" s="3">
        <v>211841</v>
      </c>
      <c r="G9" s="3">
        <v>750</v>
      </c>
      <c r="H9" t="s">
        <v>142</v>
      </c>
      <c r="J9" t="s">
        <v>10</v>
      </c>
      <c r="K9" s="2"/>
      <c r="L9" s="2">
        <f t="shared" si="0"/>
        <v>194.913</v>
      </c>
      <c r="M9" s="22">
        <f t="shared" si="1"/>
        <v>192.36699999999996</v>
      </c>
    </row>
    <row r="10" spans="2:13" ht="12.75">
      <c r="B10" t="s">
        <v>11</v>
      </c>
      <c r="C10" s="2">
        <v>151.11</v>
      </c>
      <c r="D10" s="2">
        <v>115.49</v>
      </c>
      <c r="E10" s="2">
        <v>124.83</v>
      </c>
      <c r="F10" s="3">
        <v>52960</v>
      </c>
      <c r="G10" s="3">
        <v>750</v>
      </c>
      <c r="H10">
        <f>0.05*150.14</f>
        <v>7.507</v>
      </c>
      <c r="J10" t="s">
        <v>11</v>
      </c>
      <c r="K10" s="2">
        <f>G10-C10-$C$17</f>
        <v>208.89</v>
      </c>
      <c r="L10" s="2">
        <f t="shared" si="0"/>
        <v>219.51</v>
      </c>
      <c r="M10" s="2">
        <f t="shared" si="1"/>
        <v>210.16999999999996</v>
      </c>
    </row>
    <row r="11" spans="2:13" ht="12.75">
      <c r="B11" t="s">
        <v>12</v>
      </c>
      <c r="C11" s="2"/>
      <c r="D11" s="2">
        <v>72.42</v>
      </c>
      <c r="E11" s="2">
        <v>42.17</v>
      </c>
      <c r="F11" s="3">
        <v>32581</v>
      </c>
      <c r="G11" s="3">
        <v>700</v>
      </c>
      <c r="J11" t="s">
        <v>12</v>
      </c>
      <c r="K11" s="2"/>
      <c r="L11" s="2">
        <f t="shared" si="0"/>
        <v>212.58000000000004</v>
      </c>
      <c r="M11" s="2">
        <f t="shared" si="1"/>
        <v>242.83000000000004</v>
      </c>
    </row>
    <row r="12" spans="2:13" ht="12.75">
      <c r="B12" t="s">
        <v>13</v>
      </c>
      <c r="C12" s="2"/>
      <c r="D12" s="2">
        <v>77.5</v>
      </c>
      <c r="E12" s="2">
        <v>87.94</v>
      </c>
      <c r="F12" s="3">
        <v>8145</v>
      </c>
      <c r="G12" s="3">
        <v>700</v>
      </c>
      <c r="H12" t="s">
        <v>150</v>
      </c>
      <c r="J12" t="s">
        <v>13</v>
      </c>
      <c r="K12" s="2"/>
      <c r="L12" s="2">
        <f t="shared" si="0"/>
        <v>207.5</v>
      </c>
      <c r="M12" s="2">
        <f t="shared" si="1"/>
        <v>197.05999999999995</v>
      </c>
    </row>
    <row r="13" ht="12.75">
      <c r="H13" t="s">
        <v>142</v>
      </c>
    </row>
    <row r="14" spans="2:8" ht="12.75">
      <c r="B14" t="s">
        <v>14</v>
      </c>
      <c r="C14" s="2">
        <v>166320</v>
      </c>
      <c r="D14" s="3">
        <v>272340</v>
      </c>
      <c r="E14" s="3">
        <v>265077</v>
      </c>
      <c r="H14">
        <f>0.05*147.46</f>
        <v>7.373000000000001</v>
      </c>
    </row>
    <row r="15" spans="2:5" ht="12.75">
      <c r="B15" t="s">
        <v>15</v>
      </c>
      <c r="C15" s="2">
        <f>6/7*C14</f>
        <v>142560</v>
      </c>
      <c r="D15" s="4">
        <f>6/7*D14</f>
        <v>233434.2857142857</v>
      </c>
      <c r="E15" s="4">
        <f>6/7*E14</f>
        <v>227208.85714285713</v>
      </c>
    </row>
    <row r="17" spans="2:5" ht="12.75">
      <c r="B17" t="s">
        <v>22</v>
      </c>
      <c r="C17" s="2">
        <v>390</v>
      </c>
      <c r="D17" s="2">
        <v>415</v>
      </c>
      <c r="E17" s="2">
        <v>415</v>
      </c>
    </row>
    <row r="19" ht="12.75">
      <c r="B19" t="s">
        <v>24</v>
      </c>
    </row>
    <row r="20" spans="3:6" ht="12.75">
      <c r="C20" t="s">
        <v>1</v>
      </c>
      <c r="D20" t="s">
        <v>2</v>
      </c>
      <c r="E20" t="s">
        <v>3</v>
      </c>
      <c r="F20" t="s">
        <v>29</v>
      </c>
    </row>
    <row r="21" spans="2:6" ht="12.75">
      <c r="B21" t="s">
        <v>5</v>
      </c>
      <c r="C21" s="11">
        <v>0</v>
      </c>
      <c r="D21" s="11">
        <v>40727</v>
      </c>
      <c r="E21" s="11">
        <v>0</v>
      </c>
      <c r="F21" s="2">
        <f aca="true" t="shared" si="2" ref="F21:F29">SUM(C21:E21)</f>
        <v>40727</v>
      </c>
    </row>
    <row r="22" spans="2:6" ht="12.75">
      <c r="B22" t="s">
        <v>6</v>
      </c>
      <c r="C22" s="11">
        <v>0</v>
      </c>
      <c r="D22" s="11">
        <v>0</v>
      </c>
      <c r="E22" s="11">
        <v>55608</v>
      </c>
      <c r="F22" s="2">
        <f t="shared" si="2"/>
        <v>55608</v>
      </c>
    </row>
    <row r="23" spans="2:9" ht="12.75">
      <c r="B23" t="s">
        <v>7</v>
      </c>
      <c r="C23" s="11">
        <v>92680</v>
      </c>
      <c r="D23" s="11">
        <v>0</v>
      </c>
      <c r="E23" s="11">
        <v>0</v>
      </c>
      <c r="F23" s="2">
        <f t="shared" si="2"/>
        <v>92680</v>
      </c>
      <c r="H23" t="s">
        <v>28</v>
      </c>
      <c r="I23" s="9">
        <f>SUMPRODUCT(C21:E29,K4:M12)</f>
        <v>126169826.02840216</v>
      </c>
    </row>
    <row r="24" spans="2:6" ht="12.75">
      <c r="B24" t="s">
        <v>8</v>
      </c>
      <c r="C24" s="11">
        <v>57730.85714284325</v>
      </c>
      <c r="D24" s="11">
        <v>31602.285714299673</v>
      </c>
      <c r="E24" s="11">
        <v>3346.857142655921</v>
      </c>
      <c r="F24" s="2">
        <f t="shared" si="2"/>
        <v>92679.99999979885</v>
      </c>
    </row>
    <row r="25" spans="2:9" ht="12.75">
      <c r="B25" t="s">
        <v>9</v>
      </c>
      <c r="C25" s="11">
        <v>0</v>
      </c>
      <c r="D25" s="11">
        <v>0</v>
      </c>
      <c r="E25" s="11">
        <v>23832</v>
      </c>
      <c r="F25" s="2">
        <f t="shared" si="2"/>
        <v>23832</v>
      </c>
      <c r="I25" t="s">
        <v>33</v>
      </c>
    </row>
    <row r="26" spans="2:6" ht="12.75">
      <c r="B26" t="s">
        <v>10</v>
      </c>
      <c r="C26" s="11">
        <v>0</v>
      </c>
      <c r="D26" s="11">
        <v>100000</v>
      </c>
      <c r="E26" s="11">
        <v>111841.00000000714</v>
      </c>
      <c r="F26" s="2">
        <f t="shared" si="2"/>
        <v>211841.00000000716</v>
      </c>
    </row>
    <row r="27" spans="2:10" ht="12.75">
      <c r="B27" t="s">
        <v>11</v>
      </c>
      <c r="C27" s="11">
        <v>0</v>
      </c>
      <c r="D27" s="11">
        <v>52960</v>
      </c>
      <c r="E27" s="11">
        <v>0</v>
      </c>
      <c r="F27" s="2">
        <f t="shared" si="2"/>
        <v>52960</v>
      </c>
      <c r="H27" t="s">
        <v>34</v>
      </c>
      <c r="J27" s="12">
        <f>I23-'Current Allocation'!I23</f>
        <v>4631958.878402159</v>
      </c>
    </row>
    <row r="28" spans="2:6" ht="12.75">
      <c r="B28" t="s">
        <v>12</v>
      </c>
      <c r="C28" s="11">
        <v>0</v>
      </c>
      <c r="D28" s="11">
        <v>0</v>
      </c>
      <c r="E28" s="11">
        <v>32581</v>
      </c>
      <c r="F28" s="2">
        <f t="shared" si="2"/>
        <v>32581</v>
      </c>
    </row>
    <row r="29" spans="2:10" ht="12.75">
      <c r="B29" t="s">
        <v>13</v>
      </c>
      <c r="C29" s="11">
        <v>0</v>
      </c>
      <c r="D29" s="11">
        <v>8145</v>
      </c>
      <c r="E29" s="11">
        <v>0</v>
      </c>
      <c r="F29" s="2">
        <f t="shared" si="2"/>
        <v>8145</v>
      </c>
      <c r="H29" t="s">
        <v>37</v>
      </c>
      <c r="J29" s="12">
        <f>I23-Optimal!I23</f>
        <v>1567318.3755450249</v>
      </c>
    </row>
    <row r="30" spans="2:5" ht="12.75">
      <c r="B30" t="s">
        <v>29</v>
      </c>
      <c r="C30" s="4">
        <f>SUM(C21:C29)</f>
        <v>150410.85714284325</v>
      </c>
      <c r="D30" s="4">
        <f>SUM(D21:D29)</f>
        <v>233434.28571429968</v>
      </c>
      <c r="E30" s="4">
        <f>SUM(E21:E29)</f>
        <v>227208.85714266307</v>
      </c>
    </row>
    <row r="32" spans="2:7" ht="12.75">
      <c r="B32" t="s">
        <v>31</v>
      </c>
      <c r="C32" s="10">
        <f>C30/C14</f>
        <v>0.904346182917528</v>
      </c>
      <c r="D32" s="10">
        <f>D30/D14</f>
        <v>0.8571428571429084</v>
      </c>
      <c r="E32" s="10">
        <f>E30/E14</f>
        <v>0.857142857142125</v>
      </c>
      <c r="G32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2"/>
  <sheetViews>
    <sheetView zoomScale="150" zoomScaleNormal="150" workbookViewId="0" topLeftCell="A13">
      <selection activeCell="D27" sqref="D27"/>
    </sheetView>
  </sheetViews>
  <sheetFormatPr defaultColWidth="9.140625" defaultRowHeight="12.75"/>
  <cols>
    <col min="2" max="2" width="14.421875" style="0" bestFit="1" customWidth="1"/>
    <col min="3" max="3" width="12.00390625" style="0" bestFit="1" customWidth="1"/>
    <col min="4" max="4" width="12.7109375" style="0" bestFit="1" customWidth="1"/>
    <col min="5" max="5" width="12.00390625" style="0" bestFit="1" customWidth="1"/>
    <col min="8" max="8" width="10.7109375" style="0" customWidth="1"/>
    <col min="9" max="9" width="15.57421875" style="0" bestFit="1" customWidth="1"/>
    <col min="10" max="10" width="13.140625" style="0" customWidth="1"/>
  </cols>
  <sheetData>
    <row r="1" spans="3:11" ht="12.75">
      <c r="C1" t="s">
        <v>26</v>
      </c>
      <c r="K1" t="s">
        <v>27</v>
      </c>
    </row>
    <row r="2" spans="2:4" ht="12.75">
      <c r="B2" t="s">
        <v>4</v>
      </c>
      <c r="D2" s="1" t="s">
        <v>0</v>
      </c>
    </row>
    <row r="3" spans="3:13" ht="12.75">
      <c r="C3" t="s">
        <v>1</v>
      </c>
      <c r="D3" t="s">
        <v>2</v>
      </c>
      <c r="E3" t="s">
        <v>3</v>
      </c>
      <c r="F3" t="s">
        <v>20</v>
      </c>
      <c r="G3" t="s">
        <v>21</v>
      </c>
      <c r="K3" t="s">
        <v>1</v>
      </c>
      <c r="L3" t="s">
        <v>2</v>
      </c>
      <c r="M3" t="s">
        <v>3</v>
      </c>
    </row>
    <row r="4" spans="2:13" ht="12.75">
      <c r="B4" t="s">
        <v>5</v>
      </c>
      <c r="C4" s="2"/>
      <c r="D4" s="2">
        <v>46.68</v>
      </c>
      <c r="E4" s="2">
        <v>52.8</v>
      </c>
      <c r="F4" s="2">
        <v>40727</v>
      </c>
      <c r="G4" s="3">
        <v>750</v>
      </c>
      <c r="J4" t="s">
        <v>5</v>
      </c>
      <c r="K4" s="2"/>
      <c r="L4" s="2">
        <f aca="true" t="shared" si="0" ref="L4:L12">G4-D4-$D$17</f>
        <v>288.32000000000005</v>
      </c>
      <c r="M4" s="2">
        <f aca="true" t="shared" si="1" ref="M4:M12">G4-E4-$E$17</f>
        <v>282.20000000000005</v>
      </c>
    </row>
    <row r="5" spans="2:13" ht="12.75">
      <c r="B5" t="s">
        <v>6</v>
      </c>
      <c r="C5" s="2">
        <v>89.77</v>
      </c>
      <c r="D5" s="2">
        <v>128.82</v>
      </c>
      <c r="E5" s="2">
        <v>97.17</v>
      </c>
      <c r="F5" s="3">
        <v>55608</v>
      </c>
      <c r="G5" s="3">
        <v>750</v>
      </c>
      <c r="J5" t="s">
        <v>6</v>
      </c>
      <c r="K5" s="2">
        <f>G5-C5-$C$17</f>
        <v>270.23</v>
      </c>
      <c r="L5" s="2">
        <f t="shared" si="0"/>
        <v>206.18000000000006</v>
      </c>
      <c r="M5" s="2">
        <f t="shared" si="1"/>
        <v>237.83000000000004</v>
      </c>
    </row>
    <row r="6" spans="2:13" ht="12.75">
      <c r="B6" t="s">
        <v>7</v>
      </c>
      <c r="C6" s="2">
        <v>162.24</v>
      </c>
      <c r="D6" s="2">
        <v>204.13</v>
      </c>
      <c r="E6" s="2">
        <v>210.42</v>
      </c>
      <c r="F6" s="3">
        <v>92680</v>
      </c>
      <c r="G6" s="3">
        <v>750</v>
      </c>
      <c r="J6" t="s">
        <v>7</v>
      </c>
      <c r="K6" s="2">
        <f>G6-C6-$C$17</f>
        <v>197.76</v>
      </c>
      <c r="L6" s="2">
        <f t="shared" si="0"/>
        <v>130.87</v>
      </c>
      <c r="M6" s="2">
        <f t="shared" si="1"/>
        <v>124.58000000000004</v>
      </c>
    </row>
    <row r="7" spans="2:13" ht="12.75">
      <c r="B7" t="s">
        <v>8</v>
      </c>
      <c r="C7" s="2">
        <v>166.18</v>
      </c>
      <c r="D7" s="2">
        <v>195.08</v>
      </c>
      <c r="E7" s="2">
        <v>200.62</v>
      </c>
      <c r="F7" s="3">
        <v>92680</v>
      </c>
      <c r="G7" s="3">
        <v>750</v>
      </c>
      <c r="J7" t="s">
        <v>8</v>
      </c>
      <c r="K7" s="2">
        <f>G7-C7-$C$17</f>
        <v>193.81999999999994</v>
      </c>
      <c r="L7" s="2">
        <f t="shared" si="0"/>
        <v>139.91999999999996</v>
      </c>
      <c r="M7" s="2">
        <f t="shared" si="1"/>
        <v>134.38</v>
      </c>
    </row>
    <row r="8" spans="2:13" ht="12.75">
      <c r="B8" t="s">
        <v>9</v>
      </c>
      <c r="C8" s="2">
        <v>151.77</v>
      </c>
      <c r="D8" s="2">
        <v>162.83</v>
      </c>
      <c r="E8" s="2">
        <v>142.82</v>
      </c>
      <c r="F8" s="3">
        <v>23832</v>
      </c>
      <c r="G8" s="3">
        <v>750</v>
      </c>
      <c r="H8" t="s">
        <v>149</v>
      </c>
      <c r="J8" t="s">
        <v>9</v>
      </c>
      <c r="K8" s="2">
        <f>G8-C8-$C$17</f>
        <v>208.23000000000002</v>
      </c>
      <c r="L8" s="2">
        <f t="shared" si="0"/>
        <v>172.16999999999996</v>
      </c>
      <c r="M8" s="2">
        <f t="shared" si="1"/>
        <v>192.18000000000006</v>
      </c>
    </row>
    <row r="9" spans="2:13" ht="12.75">
      <c r="B9" t="s">
        <v>10</v>
      </c>
      <c r="C9" s="2"/>
      <c r="D9" s="3">
        <f>147.46</f>
        <v>147.46</v>
      </c>
      <c r="E9" s="22">
        <f>0.95*150.14</f>
        <v>142.63299999999998</v>
      </c>
      <c r="F9" s="3">
        <v>211841</v>
      </c>
      <c r="G9" s="3">
        <v>750</v>
      </c>
      <c r="H9" t="s">
        <v>142</v>
      </c>
      <c r="J9" t="s">
        <v>10</v>
      </c>
      <c r="K9" s="2"/>
      <c r="L9" s="2">
        <f t="shared" si="0"/>
        <v>187.53999999999996</v>
      </c>
      <c r="M9" s="22">
        <f t="shared" si="1"/>
        <v>192.36699999999996</v>
      </c>
    </row>
    <row r="10" spans="2:13" ht="12.75">
      <c r="B10" t="s">
        <v>11</v>
      </c>
      <c r="C10" s="2">
        <v>151.11</v>
      </c>
      <c r="D10" s="2">
        <v>115.49</v>
      </c>
      <c r="E10" s="2">
        <v>124.83</v>
      </c>
      <c r="F10" s="3">
        <v>52960</v>
      </c>
      <c r="G10" s="3">
        <v>750</v>
      </c>
      <c r="H10">
        <f>0.05*150.14</f>
        <v>7.507</v>
      </c>
      <c r="J10" t="s">
        <v>11</v>
      </c>
      <c r="K10" s="2">
        <f>G10-C10-$C$17</f>
        <v>208.89</v>
      </c>
      <c r="L10" s="2">
        <f t="shared" si="0"/>
        <v>219.51</v>
      </c>
      <c r="M10" s="2">
        <f t="shared" si="1"/>
        <v>210.16999999999996</v>
      </c>
    </row>
    <row r="11" spans="2:13" ht="12.75">
      <c r="B11" t="s">
        <v>12</v>
      </c>
      <c r="C11" s="2"/>
      <c r="D11" s="2">
        <v>72.42</v>
      </c>
      <c r="E11" s="2">
        <v>42.17</v>
      </c>
      <c r="F11" s="3">
        <v>32581</v>
      </c>
      <c r="G11" s="3">
        <v>700</v>
      </c>
      <c r="J11" t="s">
        <v>12</v>
      </c>
      <c r="K11" s="2"/>
      <c r="L11" s="2">
        <f t="shared" si="0"/>
        <v>212.58000000000004</v>
      </c>
      <c r="M11" s="2">
        <f t="shared" si="1"/>
        <v>242.83000000000004</v>
      </c>
    </row>
    <row r="12" spans="2:13" ht="12.75">
      <c r="B12" t="s">
        <v>13</v>
      </c>
      <c r="C12" s="2"/>
      <c r="D12" s="2">
        <v>77.5</v>
      </c>
      <c r="E12" s="2">
        <v>87.94</v>
      </c>
      <c r="F12" s="3">
        <v>8145</v>
      </c>
      <c r="G12" s="3">
        <v>700</v>
      </c>
      <c r="J12" t="s">
        <v>13</v>
      </c>
      <c r="K12" s="2"/>
      <c r="L12" s="2">
        <f t="shared" si="0"/>
        <v>207.5</v>
      </c>
      <c r="M12" s="2">
        <f t="shared" si="1"/>
        <v>197.05999999999995</v>
      </c>
    </row>
    <row r="14" spans="2:5" ht="12.75">
      <c r="B14" t="s">
        <v>14</v>
      </c>
      <c r="C14" s="2">
        <v>166320</v>
      </c>
      <c r="D14" s="3">
        <v>272340</v>
      </c>
      <c r="E14" s="3">
        <v>265077</v>
      </c>
    </row>
    <row r="15" spans="2:5" ht="12.75">
      <c r="B15" t="s">
        <v>15</v>
      </c>
      <c r="C15" s="2">
        <f>6/7*C14</f>
        <v>142560</v>
      </c>
      <c r="D15" s="4">
        <f>6/7*D14</f>
        <v>233434.2857142857</v>
      </c>
      <c r="E15" s="4">
        <f>6/7*E14</f>
        <v>227208.85714285713</v>
      </c>
    </row>
    <row r="17" spans="2:5" ht="12.75">
      <c r="B17" t="s">
        <v>22</v>
      </c>
      <c r="C17" s="2">
        <v>390</v>
      </c>
      <c r="D17" s="2">
        <v>415</v>
      </c>
      <c r="E17" s="2">
        <v>415</v>
      </c>
    </row>
    <row r="19" ht="12.75">
      <c r="B19" t="s">
        <v>24</v>
      </c>
    </row>
    <row r="20" spans="3:6" ht="12.75">
      <c r="C20" t="s">
        <v>1</v>
      </c>
      <c r="D20" t="s">
        <v>2</v>
      </c>
      <c r="E20" t="s">
        <v>3</v>
      </c>
      <c r="F20" t="s">
        <v>29</v>
      </c>
    </row>
    <row r="21" spans="2:6" ht="12.75">
      <c r="B21" t="s">
        <v>5</v>
      </c>
      <c r="C21" s="11">
        <v>0</v>
      </c>
      <c r="D21" s="11">
        <v>40727</v>
      </c>
      <c r="E21" s="11">
        <v>0</v>
      </c>
      <c r="F21" s="2">
        <f aca="true" t="shared" si="2" ref="F21:F29">SUM(C21:E21)</f>
        <v>40727</v>
      </c>
    </row>
    <row r="22" spans="2:6" ht="12.75">
      <c r="B22" t="s">
        <v>6</v>
      </c>
      <c r="C22" s="11">
        <v>0</v>
      </c>
      <c r="D22" s="11">
        <v>0</v>
      </c>
      <c r="E22" s="11">
        <v>55608</v>
      </c>
      <c r="F22" s="2">
        <f t="shared" si="2"/>
        <v>55608</v>
      </c>
    </row>
    <row r="23" spans="2:9" ht="12.75">
      <c r="B23" t="s">
        <v>7</v>
      </c>
      <c r="C23" s="11">
        <v>92680</v>
      </c>
      <c r="D23" s="11">
        <v>0</v>
      </c>
      <c r="E23" s="11">
        <v>0</v>
      </c>
      <c r="F23" s="2">
        <f t="shared" si="2"/>
        <v>92680</v>
      </c>
      <c r="H23" t="s">
        <v>28</v>
      </c>
      <c r="I23" s="9">
        <f>SUMPRODUCT(C21:E29,K4:M12)</f>
        <v>125467222.89642857</v>
      </c>
    </row>
    <row r="24" spans="2:6" ht="12.75">
      <c r="B24" t="s">
        <v>8</v>
      </c>
      <c r="C24" s="11">
        <v>57730.857142857196</v>
      </c>
      <c r="D24" s="11">
        <v>34949.14285714282</v>
      </c>
      <c r="E24" s="11">
        <v>0</v>
      </c>
      <c r="F24" s="2">
        <f t="shared" si="2"/>
        <v>92680.00000000001</v>
      </c>
    </row>
    <row r="25" spans="2:9" ht="12.75">
      <c r="B25" t="s">
        <v>9</v>
      </c>
      <c r="C25" s="11">
        <v>0</v>
      </c>
      <c r="D25" s="11">
        <v>0</v>
      </c>
      <c r="E25" s="11">
        <v>23832</v>
      </c>
      <c r="F25" s="2">
        <f t="shared" si="2"/>
        <v>23832</v>
      </c>
      <c r="I25" t="s">
        <v>33</v>
      </c>
    </row>
    <row r="26" spans="2:6" ht="12.75">
      <c r="B26" t="s">
        <v>10</v>
      </c>
      <c r="C26" s="11">
        <v>0</v>
      </c>
      <c r="D26" s="11">
        <v>96653.1428571429</v>
      </c>
      <c r="E26" s="11">
        <v>115187.85714285713</v>
      </c>
      <c r="F26" s="2">
        <f t="shared" si="2"/>
        <v>211841.00000000003</v>
      </c>
    </row>
    <row r="27" spans="2:10" ht="12.75">
      <c r="B27" t="s">
        <v>11</v>
      </c>
      <c r="C27" s="11">
        <v>0</v>
      </c>
      <c r="D27" s="11">
        <v>52960</v>
      </c>
      <c r="E27" s="11">
        <v>0</v>
      </c>
      <c r="F27" s="2">
        <f t="shared" si="2"/>
        <v>52960</v>
      </c>
      <c r="H27" t="s">
        <v>34</v>
      </c>
      <c r="J27" s="12">
        <f>I23-'Current Allocation'!I23</f>
        <v>3929355.746428564</v>
      </c>
    </row>
    <row r="28" spans="2:6" ht="12.75">
      <c r="B28" t="s">
        <v>12</v>
      </c>
      <c r="C28" s="11">
        <v>0</v>
      </c>
      <c r="D28" s="11">
        <v>0</v>
      </c>
      <c r="E28" s="11">
        <v>32581</v>
      </c>
      <c r="F28" s="2">
        <f t="shared" si="2"/>
        <v>32581</v>
      </c>
    </row>
    <row r="29" spans="2:10" ht="12.75">
      <c r="B29" t="s">
        <v>13</v>
      </c>
      <c r="C29" s="11">
        <v>0</v>
      </c>
      <c r="D29" s="11">
        <v>8145</v>
      </c>
      <c r="E29" s="11">
        <v>0</v>
      </c>
      <c r="F29" s="2">
        <f t="shared" si="2"/>
        <v>8145</v>
      </c>
      <c r="H29" t="s">
        <v>37</v>
      </c>
      <c r="J29" s="12">
        <f>I23-Optimal!I23</f>
        <v>864715.2435714304</v>
      </c>
    </row>
    <row r="30" spans="2:5" ht="12.75">
      <c r="B30" t="s">
        <v>29</v>
      </c>
      <c r="C30" s="4">
        <f>SUM(C21:C29)</f>
        <v>150410.8571428572</v>
      </c>
      <c r="D30" s="4">
        <f>SUM(D21:D29)</f>
        <v>233434.2857142857</v>
      </c>
      <c r="E30" s="4">
        <f>SUM(E21:E29)</f>
        <v>227208.85714285713</v>
      </c>
    </row>
    <row r="32" spans="2:7" ht="12.75">
      <c r="B32" t="s">
        <v>31</v>
      </c>
      <c r="C32" s="10">
        <f>C30/C14</f>
        <v>0.9043461829176118</v>
      </c>
      <c r="D32" s="10">
        <f>D30/D14</f>
        <v>0.8571428571428571</v>
      </c>
      <c r="E32" s="10">
        <f>E30/E14</f>
        <v>0.8571428571428571</v>
      </c>
      <c r="G32" t="s">
        <v>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2"/>
  <sheetViews>
    <sheetView zoomScale="150" zoomScaleNormal="150" workbookViewId="0" topLeftCell="E17">
      <selection activeCell="G33" sqref="G33"/>
    </sheetView>
  </sheetViews>
  <sheetFormatPr defaultColWidth="9.140625" defaultRowHeight="12.75"/>
  <cols>
    <col min="2" max="2" width="14.421875" style="0" bestFit="1" customWidth="1"/>
    <col min="3" max="3" width="12.00390625" style="0" bestFit="1" customWidth="1"/>
    <col min="4" max="4" width="12.7109375" style="0" bestFit="1" customWidth="1"/>
    <col min="5" max="5" width="12.00390625" style="0" bestFit="1" customWidth="1"/>
    <col min="8" max="8" width="10.7109375" style="0" customWidth="1"/>
    <col min="9" max="9" width="15.57421875" style="0" bestFit="1" customWidth="1"/>
    <col min="10" max="10" width="13.140625" style="0" customWidth="1"/>
  </cols>
  <sheetData>
    <row r="1" spans="3:11" ht="12.75">
      <c r="C1" t="s">
        <v>26</v>
      </c>
      <c r="K1" t="s">
        <v>27</v>
      </c>
    </row>
    <row r="2" spans="2:4" ht="12.75">
      <c r="B2" t="s">
        <v>4</v>
      </c>
      <c r="D2" s="1" t="s">
        <v>0</v>
      </c>
    </row>
    <row r="3" spans="3:13" ht="12.75">
      <c r="C3" t="s">
        <v>1</v>
      </c>
      <c r="D3" t="s">
        <v>2</v>
      </c>
      <c r="E3" t="s">
        <v>3</v>
      </c>
      <c r="F3" t="s">
        <v>20</v>
      </c>
      <c r="G3" t="s">
        <v>21</v>
      </c>
      <c r="K3" t="s">
        <v>1</v>
      </c>
      <c r="L3" t="s">
        <v>2</v>
      </c>
      <c r="M3" t="s">
        <v>3</v>
      </c>
    </row>
    <row r="4" spans="2:13" ht="12.75">
      <c r="B4" t="s">
        <v>5</v>
      </c>
      <c r="C4" s="2"/>
      <c r="D4" s="2">
        <v>46.68</v>
      </c>
      <c r="E4" s="2">
        <v>52.8</v>
      </c>
      <c r="F4" s="2">
        <v>40727</v>
      </c>
      <c r="G4" s="3">
        <v>750</v>
      </c>
      <c r="J4" t="s">
        <v>5</v>
      </c>
      <c r="K4" s="2"/>
      <c r="L4" s="2">
        <f aca="true" t="shared" si="0" ref="L4:L12">G4-D4-$D$17</f>
        <v>288.32000000000005</v>
      </c>
      <c r="M4" s="2">
        <f aca="true" t="shared" si="1" ref="M4:M12">G4-E4-$E$17</f>
        <v>282.20000000000005</v>
      </c>
    </row>
    <row r="5" spans="2:13" ht="12.75">
      <c r="B5" t="s">
        <v>6</v>
      </c>
      <c r="C5" s="2">
        <v>89.77</v>
      </c>
      <c r="D5" s="2">
        <v>128.82</v>
      </c>
      <c r="E5" s="2">
        <v>97.17</v>
      </c>
      <c r="F5" s="3">
        <v>55608</v>
      </c>
      <c r="G5" s="3">
        <v>750</v>
      </c>
      <c r="J5" t="s">
        <v>6</v>
      </c>
      <c r="K5" s="2">
        <f>G5-C5-$C$17</f>
        <v>270.23</v>
      </c>
      <c r="L5" s="2">
        <f t="shared" si="0"/>
        <v>206.18000000000006</v>
      </c>
      <c r="M5" s="2">
        <f t="shared" si="1"/>
        <v>237.83000000000004</v>
      </c>
    </row>
    <row r="6" spans="2:13" ht="12.75">
      <c r="B6" t="s">
        <v>7</v>
      </c>
      <c r="C6" s="2">
        <v>162.24</v>
      </c>
      <c r="D6" s="2">
        <v>204.13</v>
      </c>
      <c r="E6" s="2">
        <v>210.42</v>
      </c>
      <c r="F6" s="3">
        <v>92680</v>
      </c>
      <c r="G6" s="3">
        <v>750</v>
      </c>
      <c r="J6" t="s">
        <v>7</v>
      </c>
      <c r="K6" s="2">
        <f>G6-C6-$C$17</f>
        <v>197.76</v>
      </c>
      <c r="L6" s="2">
        <f t="shared" si="0"/>
        <v>130.87</v>
      </c>
      <c r="M6" s="2">
        <f t="shared" si="1"/>
        <v>124.58000000000004</v>
      </c>
    </row>
    <row r="7" spans="2:13" ht="12.75">
      <c r="B7" t="s">
        <v>8</v>
      </c>
      <c r="C7" s="2">
        <v>166.18</v>
      </c>
      <c r="D7" s="2">
        <v>195.08</v>
      </c>
      <c r="E7" s="2">
        <v>200.62</v>
      </c>
      <c r="F7" s="3">
        <v>92680</v>
      </c>
      <c r="G7" s="3">
        <v>750</v>
      </c>
      <c r="J7" t="s">
        <v>8</v>
      </c>
      <c r="K7" s="2">
        <f>G7-C7-$C$17</f>
        <v>193.81999999999994</v>
      </c>
      <c r="L7" s="2">
        <f t="shared" si="0"/>
        <v>139.91999999999996</v>
      </c>
      <c r="M7" s="2">
        <f t="shared" si="1"/>
        <v>134.38</v>
      </c>
    </row>
    <row r="8" spans="2:13" ht="12.75">
      <c r="B8" t="s">
        <v>9</v>
      </c>
      <c r="C8" s="2">
        <v>151.77</v>
      </c>
      <c r="D8" s="2">
        <v>162.83</v>
      </c>
      <c r="E8" s="2">
        <v>142.82</v>
      </c>
      <c r="F8" s="3">
        <v>23832</v>
      </c>
      <c r="G8" s="3">
        <v>750</v>
      </c>
      <c r="J8" t="s">
        <v>9</v>
      </c>
      <c r="K8" s="2">
        <f>G8-C8-$C$17</f>
        <v>208.23000000000002</v>
      </c>
      <c r="L8" s="2">
        <f t="shared" si="0"/>
        <v>172.16999999999996</v>
      </c>
      <c r="M8" s="2">
        <f t="shared" si="1"/>
        <v>192.18000000000006</v>
      </c>
    </row>
    <row r="9" spans="2:13" ht="12.75">
      <c r="B9" t="s">
        <v>10</v>
      </c>
      <c r="C9" s="2"/>
      <c r="D9" s="2">
        <v>147.46</v>
      </c>
      <c r="E9" s="2">
        <v>150.14</v>
      </c>
      <c r="F9" s="3">
        <v>211841</v>
      </c>
      <c r="G9" s="3">
        <v>750</v>
      </c>
      <c r="J9" t="s">
        <v>10</v>
      </c>
      <c r="K9" s="2"/>
      <c r="L9" s="2">
        <f t="shared" si="0"/>
        <v>187.53999999999996</v>
      </c>
      <c r="M9" s="2">
        <f t="shared" si="1"/>
        <v>184.86</v>
      </c>
    </row>
    <row r="10" spans="2:13" ht="12.75">
      <c r="B10" t="s">
        <v>11</v>
      </c>
      <c r="C10" s="2">
        <v>151.11</v>
      </c>
      <c r="D10" s="2">
        <v>115.49</v>
      </c>
      <c r="E10" s="2">
        <v>124.83</v>
      </c>
      <c r="F10" s="3">
        <v>52960</v>
      </c>
      <c r="G10" s="3">
        <v>750</v>
      </c>
      <c r="J10" t="s">
        <v>11</v>
      </c>
      <c r="K10" s="2">
        <f>G10-C10-$C$17</f>
        <v>208.89</v>
      </c>
      <c r="L10" s="2">
        <f t="shared" si="0"/>
        <v>219.51</v>
      </c>
      <c r="M10" s="2">
        <f t="shared" si="1"/>
        <v>210.16999999999996</v>
      </c>
    </row>
    <row r="11" spans="2:13" ht="12.75">
      <c r="B11" t="s">
        <v>12</v>
      </c>
      <c r="C11" s="2"/>
      <c r="D11" s="2">
        <v>72.42</v>
      </c>
      <c r="E11" s="2">
        <v>42.17</v>
      </c>
      <c r="F11" s="3">
        <v>32581</v>
      </c>
      <c r="G11" s="3">
        <v>700</v>
      </c>
      <c r="J11" t="s">
        <v>12</v>
      </c>
      <c r="K11" s="2"/>
      <c r="L11" s="2">
        <f t="shared" si="0"/>
        <v>212.58000000000004</v>
      </c>
      <c r="M11" s="2">
        <f t="shared" si="1"/>
        <v>242.83000000000004</v>
      </c>
    </row>
    <row r="12" spans="2:13" ht="12.75">
      <c r="B12" t="s">
        <v>13</v>
      </c>
      <c r="C12" s="2"/>
      <c r="D12" s="2">
        <v>77.5</v>
      </c>
      <c r="E12" s="2">
        <v>87.94</v>
      </c>
      <c r="F12" s="3">
        <v>8145</v>
      </c>
      <c r="G12" s="3">
        <v>700</v>
      </c>
      <c r="J12" t="s">
        <v>13</v>
      </c>
      <c r="K12" s="2"/>
      <c r="L12" s="2">
        <f t="shared" si="0"/>
        <v>207.5</v>
      </c>
      <c r="M12" s="2">
        <f t="shared" si="1"/>
        <v>197.05999999999995</v>
      </c>
    </row>
    <row r="14" spans="2:5" ht="12.75">
      <c r="B14" t="s">
        <v>14</v>
      </c>
      <c r="C14" s="2">
        <v>166320</v>
      </c>
      <c r="D14" s="3">
        <v>272340</v>
      </c>
      <c r="E14" s="3">
        <v>265077</v>
      </c>
    </row>
    <row r="15" spans="2:5" ht="12.75">
      <c r="B15" t="s">
        <v>15</v>
      </c>
      <c r="C15" s="2">
        <f>6/7*C14</f>
        <v>142560</v>
      </c>
      <c r="D15" s="4">
        <f>6/7*D14</f>
        <v>233434.2857142857</v>
      </c>
      <c r="E15" s="4">
        <f>6/7*E14</f>
        <v>227208.85714285713</v>
      </c>
    </row>
    <row r="17" spans="2:5" ht="12.75">
      <c r="B17" t="s">
        <v>22</v>
      </c>
      <c r="C17" s="2">
        <v>390</v>
      </c>
      <c r="D17" s="2">
        <v>415</v>
      </c>
      <c r="E17" s="2">
        <v>415</v>
      </c>
    </row>
    <row r="19" ht="12.75">
      <c r="B19" t="s">
        <v>24</v>
      </c>
    </row>
    <row r="20" spans="3:6" ht="12.75">
      <c r="C20" t="s">
        <v>1</v>
      </c>
      <c r="D20" t="s">
        <v>2</v>
      </c>
      <c r="E20" t="s">
        <v>3</v>
      </c>
      <c r="F20" t="s">
        <v>29</v>
      </c>
    </row>
    <row r="21" spans="2:6" ht="12.75">
      <c r="B21" t="s">
        <v>5</v>
      </c>
      <c r="C21" s="11">
        <v>0</v>
      </c>
      <c r="D21" s="11">
        <v>40727</v>
      </c>
      <c r="E21" s="11">
        <v>0</v>
      </c>
      <c r="F21" s="2">
        <f aca="true" t="shared" si="2" ref="F21:F29">SUM(C21:E21)</f>
        <v>40727</v>
      </c>
    </row>
    <row r="22" spans="2:6" ht="12.75">
      <c r="B22" t="s">
        <v>6</v>
      </c>
      <c r="C22" s="11">
        <v>0</v>
      </c>
      <c r="D22" s="11">
        <v>0</v>
      </c>
      <c r="E22" s="11">
        <v>55608</v>
      </c>
      <c r="F22" s="2">
        <f t="shared" si="2"/>
        <v>55608</v>
      </c>
    </row>
    <row r="23" spans="2:9" ht="12.75">
      <c r="B23" t="s">
        <v>7</v>
      </c>
      <c r="C23" s="11">
        <v>92680</v>
      </c>
      <c r="D23" s="11">
        <v>0</v>
      </c>
      <c r="E23" s="11">
        <v>0</v>
      </c>
      <c r="F23" s="2">
        <f t="shared" si="2"/>
        <v>92680</v>
      </c>
      <c r="H23" t="s">
        <v>28</v>
      </c>
      <c r="I23" s="9">
        <f>SUMPRODUCT(C21:E29,K4:M12)</f>
        <v>124271430.38753441</v>
      </c>
    </row>
    <row r="24" spans="2:6" ht="12.75">
      <c r="B24" t="s">
        <v>8</v>
      </c>
      <c r="C24" s="11">
        <v>51735.45816122751</v>
      </c>
      <c r="D24" s="11">
        <v>40944.54183876199</v>
      </c>
      <c r="E24" s="11">
        <v>0</v>
      </c>
      <c r="F24" s="2">
        <f t="shared" si="2"/>
        <v>92679.9999999895</v>
      </c>
    </row>
    <row r="25" spans="2:9" ht="12.75">
      <c r="B25" t="s">
        <v>9</v>
      </c>
      <c r="C25" s="11">
        <v>0</v>
      </c>
      <c r="D25" s="11">
        <v>0</v>
      </c>
      <c r="E25" s="11">
        <v>23832</v>
      </c>
      <c r="F25" s="2">
        <f t="shared" si="2"/>
        <v>23832</v>
      </c>
      <c r="I25" t="s">
        <v>36</v>
      </c>
    </row>
    <row r="26" spans="2:6" ht="12.75">
      <c r="B26" t="s">
        <v>10</v>
      </c>
      <c r="C26" s="11">
        <v>0</v>
      </c>
      <c r="D26" s="11">
        <v>93695.95621090967</v>
      </c>
      <c r="E26" s="11">
        <v>118145.0437890929</v>
      </c>
      <c r="F26" s="2">
        <f t="shared" si="2"/>
        <v>211841.00000000256</v>
      </c>
    </row>
    <row r="27" spans="2:10" ht="12.75">
      <c r="B27" t="s">
        <v>11</v>
      </c>
      <c r="C27" s="11">
        <v>0</v>
      </c>
      <c r="D27" s="11">
        <v>52960</v>
      </c>
      <c r="E27" s="11">
        <v>0</v>
      </c>
      <c r="F27" s="2">
        <f t="shared" si="2"/>
        <v>52960</v>
      </c>
      <c r="H27" t="s">
        <v>34</v>
      </c>
      <c r="J27" s="12">
        <f>I23-'Current Allocation'!I23</f>
        <v>2733563.237534404</v>
      </c>
    </row>
    <row r="28" spans="2:6" ht="12.75">
      <c r="B28" t="s">
        <v>12</v>
      </c>
      <c r="C28" s="11">
        <v>0</v>
      </c>
      <c r="D28" s="11">
        <v>0</v>
      </c>
      <c r="E28" s="11">
        <v>32581</v>
      </c>
      <c r="F28" s="2">
        <f t="shared" si="2"/>
        <v>32581</v>
      </c>
    </row>
    <row r="29" spans="2:10" ht="12.75">
      <c r="B29" t="s">
        <v>13</v>
      </c>
      <c r="C29" s="11">
        <v>0</v>
      </c>
      <c r="D29" s="11">
        <v>8144.99999999998</v>
      </c>
      <c r="E29" s="11">
        <v>0</v>
      </c>
      <c r="F29" s="2">
        <f t="shared" si="2"/>
        <v>8144.99999999998</v>
      </c>
      <c r="H29" t="s">
        <v>37</v>
      </c>
      <c r="J29" s="12">
        <f>I23-Optimal!I23</f>
        <v>-331077.26532272995</v>
      </c>
    </row>
    <row r="30" spans="2:5" ht="12.75">
      <c r="B30" t="s">
        <v>29</v>
      </c>
      <c r="C30" s="4">
        <f>SUM(C21:C29)</f>
        <v>144415.45816122752</v>
      </c>
      <c r="D30" s="4">
        <f>SUM(D21:D29)</f>
        <v>236472.49804967162</v>
      </c>
      <c r="E30" s="4">
        <f>SUM(E21:E29)</f>
        <v>230166.04378909292</v>
      </c>
    </row>
    <row r="32" spans="2:7" ht="12.75">
      <c r="B32" t="s">
        <v>31</v>
      </c>
      <c r="C32" s="10">
        <f>C30/C14</f>
        <v>0.868298810493191</v>
      </c>
      <c r="D32" s="10">
        <f>D30/D14</f>
        <v>0.8682988104930294</v>
      </c>
      <c r="E32" s="10">
        <f>E30/E14</f>
        <v>0.8682988104931507</v>
      </c>
      <c r="G32" t="s">
        <v>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showGridLines="0" tabSelected="1" zoomScale="150" zoomScaleNormal="150" workbookViewId="0" topLeftCell="H46">
      <selection activeCell="M61" sqref="M6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5.28125" style="0" bestFit="1" customWidth="1"/>
    <col min="4" max="4" width="7.140625" style="0" bestFit="1" customWidth="1"/>
    <col min="6" max="8" width="12.140625" style="0" bestFit="1" customWidth="1"/>
    <col min="11" max="11" width="13.140625" style="0" bestFit="1" customWidth="1"/>
  </cols>
  <sheetData>
    <row r="1" ht="12.75">
      <c r="A1" s="14" t="s">
        <v>42</v>
      </c>
    </row>
    <row r="2" ht="12.75">
      <c r="A2" s="14" t="s">
        <v>43</v>
      </c>
    </row>
    <row r="3" ht="12.75">
      <c r="A3" s="14" t="s">
        <v>44</v>
      </c>
    </row>
    <row r="4" ht="12.75">
      <c r="G4" t="s">
        <v>140</v>
      </c>
    </row>
    <row r="5" ht="12.75">
      <c r="G5" t="s">
        <v>141</v>
      </c>
    </row>
    <row r="6" ht="13.5" thickBot="1">
      <c r="A6" t="s">
        <v>45</v>
      </c>
    </row>
    <row r="7" spans="2:8" ht="12.75">
      <c r="B7" s="17"/>
      <c r="C7" s="17"/>
      <c r="D7" s="17" t="s">
        <v>48</v>
      </c>
      <c r="E7" s="17" t="s">
        <v>50</v>
      </c>
      <c r="F7" s="17" t="s">
        <v>52</v>
      </c>
      <c r="G7" s="17" t="s">
        <v>54</v>
      </c>
      <c r="H7" s="17" t="s">
        <v>54</v>
      </c>
    </row>
    <row r="8" spans="2:8" ht="13.5" thickBot="1">
      <c r="B8" s="18" t="s">
        <v>46</v>
      </c>
      <c r="C8" s="18" t="s">
        <v>47</v>
      </c>
      <c r="D8" s="18" t="s">
        <v>49</v>
      </c>
      <c r="E8" s="18" t="s">
        <v>51</v>
      </c>
      <c r="F8" s="18" t="s">
        <v>53</v>
      </c>
      <c r="G8" s="18" t="s">
        <v>55</v>
      </c>
      <c r="H8" s="18" t="s">
        <v>56</v>
      </c>
    </row>
    <row r="9" spans="2:8" ht="12.75">
      <c r="B9" s="15" t="s">
        <v>62</v>
      </c>
      <c r="C9" s="15" t="s">
        <v>63</v>
      </c>
      <c r="D9" s="19">
        <v>0</v>
      </c>
      <c r="E9" s="19">
        <v>-342.21999999752455</v>
      </c>
      <c r="F9" s="15">
        <v>0</v>
      </c>
      <c r="G9" s="15">
        <v>342.21999999752455</v>
      </c>
      <c r="H9" s="15">
        <v>1E+30</v>
      </c>
    </row>
    <row r="10" spans="2:8" ht="12.75">
      <c r="B10" s="15" t="s">
        <v>64</v>
      </c>
      <c r="C10" s="15" t="s">
        <v>65</v>
      </c>
      <c r="D10" s="19">
        <v>40727</v>
      </c>
      <c r="E10" s="19">
        <v>0</v>
      </c>
      <c r="F10" s="15">
        <v>288.3200000021276</v>
      </c>
      <c r="G10" s="15">
        <v>1E+30</v>
      </c>
      <c r="H10" s="15">
        <v>3.439999856552142</v>
      </c>
    </row>
    <row r="11" spans="2:8" ht="12.75">
      <c r="B11" s="15" t="s">
        <v>66</v>
      </c>
      <c r="C11" s="15" t="s">
        <v>67</v>
      </c>
      <c r="D11" s="19">
        <v>0</v>
      </c>
      <c r="E11" s="19">
        <v>-3.4399998565046306</v>
      </c>
      <c r="F11" s="15">
        <v>282.2000001370907</v>
      </c>
      <c r="G11" s="15">
        <v>3.4399998565046306</v>
      </c>
      <c r="H11" s="15">
        <v>1E+30</v>
      </c>
    </row>
    <row r="12" spans="2:8" ht="12.75">
      <c r="B12" s="15" t="s">
        <v>68</v>
      </c>
      <c r="C12" s="15" t="s">
        <v>69</v>
      </c>
      <c r="D12" s="19">
        <v>0</v>
      </c>
      <c r="E12" s="19">
        <v>-24.179999978542067</v>
      </c>
      <c r="F12" s="15">
        <v>270.2300000190735</v>
      </c>
      <c r="G12" s="15">
        <v>24.179999978542067</v>
      </c>
      <c r="H12" s="15">
        <v>1E+30</v>
      </c>
    </row>
    <row r="13" spans="2:8" ht="12.75">
      <c r="B13" s="15" t="s">
        <v>70</v>
      </c>
      <c r="C13" s="15" t="s">
        <v>71</v>
      </c>
      <c r="D13" s="19">
        <v>0</v>
      </c>
      <c r="E13" s="19">
        <v>-34.32999998706592</v>
      </c>
      <c r="F13" s="15">
        <v>206.18000000715256</v>
      </c>
      <c r="G13" s="15">
        <v>34.32999998706592</v>
      </c>
      <c r="H13" s="15">
        <v>1E+30</v>
      </c>
    </row>
    <row r="14" spans="2:8" ht="12.75">
      <c r="B14" s="15" t="s">
        <v>72</v>
      </c>
      <c r="C14" s="15" t="s">
        <v>73</v>
      </c>
      <c r="D14" s="19">
        <v>55608</v>
      </c>
      <c r="E14" s="19">
        <v>0</v>
      </c>
      <c r="F14" s="15">
        <v>237.8300000011595</v>
      </c>
      <c r="G14" s="15">
        <v>1E+30</v>
      </c>
      <c r="H14" s="15">
        <v>24.17999997889084</v>
      </c>
    </row>
    <row r="15" spans="2:8" ht="12.75">
      <c r="B15" s="15" t="s">
        <v>74</v>
      </c>
      <c r="C15" s="15" t="s">
        <v>75</v>
      </c>
      <c r="D15" s="19">
        <v>92680</v>
      </c>
      <c r="E15" s="19">
        <v>0</v>
      </c>
      <c r="F15" s="15">
        <v>197.76000000012294</v>
      </c>
      <c r="G15" s="15">
        <v>1E+30</v>
      </c>
      <c r="H15" s="15">
        <v>12.990000032586813</v>
      </c>
    </row>
    <row r="16" spans="2:8" ht="12.75">
      <c r="B16" s="15" t="s">
        <v>76</v>
      </c>
      <c r="C16" s="15" t="s">
        <v>77</v>
      </c>
      <c r="D16" s="19">
        <v>0</v>
      </c>
      <c r="E16" s="19">
        <v>-12.99000003334799</v>
      </c>
      <c r="F16" s="15">
        <v>130.86999997496605</v>
      </c>
      <c r="G16" s="15">
        <v>12.99000003334799</v>
      </c>
      <c r="H16" s="15">
        <v>1E+30</v>
      </c>
    </row>
    <row r="17" spans="2:8" ht="12.75">
      <c r="B17" s="15" t="s">
        <v>78</v>
      </c>
      <c r="C17" s="15" t="s">
        <v>79</v>
      </c>
      <c r="D17" s="19">
        <v>0</v>
      </c>
      <c r="E17" s="19">
        <v>-16.599999964866555</v>
      </c>
      <c r="F17" s="15">
        <v>124.58000004291534</v>
      </c>
      <c r="G17" s="15">
        <v>16.599999964866555</v>
      </c>
      <c r="H17" s="15">
        <v>1E+30</v>
      </c>
    </row>
    <row r="18" spans="2:8" ht="12.75">
      <c r="B18" s="15" t="s">
        <v>80</v>
      </c>
      <c r="C18" s="15" t="s">
        <v>81</v>
      </c>
      <c r="D18" s="19">
        <v>57730.857142857196</v>
      </c>
      <c r="E18" s="19">
        <v>0</v>
      </c>
      <c r="F18" s="15">
        <v>193.82000000161148</v>
      </c>
      <c r="G18" s="15">
        <v>12.990000032598708</v>
      </c>
      <c r="H18" s="15">
        <v>24.179999978947833</v>
      </c>
    </row>
    <row r="19" spans="2:8" ht="12.75">
      <c r="B19" s="15" t="s">
        <v>82</v>
      </c>
      <c r="C19" s="15" t="s">
        <v>83</v>
      </c>
      <c r="D19" s="19">
        <v>34949.14285714282</v>
      </c>
      <c r="E19" s="19">
        <v>0</v>
      </c>
      <c r="F19" s="15">
        <v>139.92000000156625</v>
      </c>
      <c r="G19" s="15">
        <v>24.179999978989798</v>
      </c>
      <c r="H19" s="15">
        <v>2.859999924072117</v>
      </c>
    </row>
    <row r="20" spans="2:8" ht="12.75">
      <c r="B20" s="15" t="s">
        <v>84</v>
      </c>
      <c r="C20" s="15" t="s">
        <v>85</v>
      </c>
      <c r="D20" s="19">
        <v>0</v>
      </c>
      <c r="E20" s="19">
        <v>-2.8599999242235095</v>
      </c>
      <c r="F20" s="15">
        <v>134.3800000846386</v>
      </c>
      <c r="G20" s="15">
        <v>2.8599999242235095</v>
      </c>
      <c r="H20" s="15">
        <v>1E+30</v>
      </c>
    </row>
    <row r="21" spans="2:8" ht="12.75">
      <c r="B21" s="15" t="s">
        <v>86</v>
      </c>
      <c r="C21" s="15" t="s">
        <v>87</v>
      </c>
      <c r="D21" s="19">
        <v>0</v>
      </c>
      <c r="E21" s="19">
        <v>-40.530000010957316</v>
      </c>
      <c r="F21" s="15">
        <v>208.22999998927116</v>
      </c>
      <c r="G21" s="15">
        <v>40.530000010957316</v>
      </c>
      <c r="H21" s="15">
        <v>1E+30</v>
      </c>
    </row>
    <row r="22" spans="2:8" ht="12.75">
      <c r="B22" s="15" t="s">
        <v>88</v>
      </c>
      <c r="C22" s="15" t="s">
        <v>89</v>
      </c>
      <c r="D22" s="19">
        <v>0</v>
      </c>
      <c r="E22" s="19">
        <v>-22.689999920537453</v>
      </c>
      <c r="F22" s="15">
        <v>172.17000007629395</v>
      </c>
      <c r="G22" s="15">
        <v>22.689999920537453</v>
      </c>
      <c r="H22" s="15">
        <v>1E+30</v>
      </c>
    </row>
    <row r="23" spans="2:8" ht="12.75">
      <c r="B23" s="15" t="s">
        <v>90</v>
      </c>
      <c r="C23" s="15" t="s">
        <v>91</v>
      </c>
      <c r="D23" s="19">
        <v>23832</v>
      </c>
      <c r="E23" s="19">
        <v>0</v>
      </c>
      <c r="F23" s="15">
        <v>192.18000000297084</v>
      </c>
      <c r="G23" s="15">
        <v>1E+30</v>
      </c>
      <c r="H23" s="15">
        <v>22.689999920869685</v>
      </c>
    </row>
    <row r="24" spans="2:8" ht="12.75">
      <c r="B24" s="15" t="s">
        <v>92</v>
      </c>
      <c r="C24" s="15" t="s">
        <v>93</v>
      </c>
      <c r="D24" s="19">
        <v>0</v>
      </c>
      <c r="E24" s="19">
        <v>-241.43999999994958</v>
      </c>
      <c r="F24" s="15">
        <v>0</v>
      </c>
      <c r="G24" s="15">
        <v>241.43999999994958</v>
      </c>
      <c r="H24" s="15">
        <v>1E+30</v>
      </c>
    </row>
    <row r="25" spans="2:8" ht="12.75">
      <c r="B25" s="15" t="s">
        <v>94</v>
      </c>
      <c r="C25" s="15" t="s">
        <v>95</v>
      </c>
      <c r="D25" s="19">
        <v>96653.1428571429</v>
      </c>
      <c r="E25" s="19">
        <v>0</v>
      </c>
      <c r="F25" s="15">
        <v>187.54000000005792</v>
      </c>
      <c r="G25" s="15">
        <v>2.8599999240601726</v>
      </c>
      <c r="H25" s="15">
        <v>22.689999920788615</v>
      </c>
    </row>
    <row r="26" spans="2:8" ht="12.75">
      <c r="B26" s="15" t="s">
        <v>96</v>
      </c>
      <c r="C26" s="15" t="s">
        <v>97</v>
      </c>
      <c r="D26" s="19">
        <v>115187.85714285713</v>
      </c>
      <c r="E26" s="19">
        <v>0</v>
      </c>
      <c r="F26" s="23">
        <v>184.85999999935433</v>
      </c>
      <c r="G26" s="15">
        <v>22.689999920768706</v>
      </c>
      <c r="H26" s="15">
        <v>2.859999924057663</v>
      </c>
    </row>
    <row r="27" spans="2:8" ht="12.75">
      <c r="B27" s="15" t="s">
        <v>98</v>
      </c>
      <c r="C27" s="15" t="s">
        <v>99</v>
      </c>
      <c r="D27" s="19">
        <v>0</v>
      </c>
      <c r="E27" s="19">
        <v>-64.52000001262238</v>
      </c>
      <c r="F27" s="15">
        <v>208.88999998569489</v>
      </c>
      <c r="G27" s="15">
        <v>64.52000001262238</v>
      </c>
      <c r="H27" s="15">
        <v>1E+30</v>
      </c>
    </row>
    <row r="28" spans="2:8" ht="12.75">
      <c r="B28" s="15" t="s">
        <v>100</v>
      </c>
      <c r="C28" s="15" t="s">
        <v>101</v>
      </c>
      <c r="D28" s="19">
        <v>52960</v>
      </c>
      <c r="E28" s="19">
        <v>0</v>
      </c>
      <c r="F28" s="15">
        <v>219.51000000212306</v>
      </c>
      <c r="G28" s="15">
        <v>1E+30</v>
      </c>
      <c r="H28" s="15">
        <v>6.659999947995966</v>
      </c>
    </row>
    <row r="29" spans="2:8" ht="12.75">
      <c r="B29" s="15" t="s">
        <v>102</v>
      </c>
      <c r="C29" s="15" t="s">
        <v>103</v>
      </c>
      <c r="D29" s="19">
        <v>0</v>
      </c>
      <c r="E29" s="19">
        <v>-6.659999947896416</v>
      </c>
      <c r="F29" s="15">
        <v>210.17000004649162</v>
      </c>
      <c r="G29" s="15">
        <v>6.659999947896416</v>
      </c>
      <c r="H29" s="15">
        <v>1E+30</v>
      </c>
    </row>
    <row r="30" spans="2:8" ht="12.75">
      <c r="B30" s="15" t="s">
        <v>104</v>
      </c>
      <c r="C30" s="15" t="s">
        <v>105</v>
      </c>
      <c r="D30" s="19">
        <v>0</v>
      </c>
      <c r="E30" s="19">
        <v>-299.4099999976361</v>
      </c>
      <c r="F30" s="15">
        <v>0</v>
      </c>
      <c r="G30" s="15">
        <v>299.4099999976361</v>
      </c>
      <c r="H30" s="15">
        <v>1E+30</v>
      </c>
    </row>
    <row r="31" spans="2:8" ht="12.75">
      <c r="B31" s="15" t="s">
        <v>106</v>
      </c>
      <c r="C31" s="15" t="s">
        <v>107</v>
      </c>
      <c r="D31" s="19">
        <v>0</v>
      </c>
      <c r="E31" s="19">
        <v>-32.92999998112602</v>
      </c>
      <c r="F31" s="15">
        <v>212.58000001311302</v>
      </c>
      <c r="G31" s="15">
        <v>32.92999998112602</v>
      </c>
      <c r="H31" s="15">
        <v>1E+30</v>
      </c>
    </row>
    <row r="32" spans="2:8" ht="12.75">
      <c r="B32" s="15" t="s">
        <v>108</v>
      </c>
      <c r="C32" s="15" t="s">
        <v>109</v>
      </c>
      <c r="D32" s="19">
        <v>32581</v>
      </c>
      <c r="E32" s="19">
        <v>0</v>
      </c>
      <c r="F32" s="15">
        <v>242.83000000116408</v>
      </c>
      <c r="G32" s="15">
        <v>1E+30</v>
      </c>
      <c r="H32" s="15">
        <v>32.92999998159615</v>
      </c>
    </row>
    <row r="33" spans="2:8" ht="12.75">
      <c r="B33" s="15" t="s">
        <v>110</v>
      </c>
      <c r="C33" s="15" t="s">
        <v>111</v>
      </c>
      <c r="D33" s="19">
        <v>0</v>
      </c>
      <c r="E33" s="19">
        <v>-261.4000000143929</v>
      </c>
      <c r="F33" s="15">
        <v>0</v>
      </c>
      <c r="G33" s="15">
        <v>261.4000000143929</v>
      </c>
      <c r="H33" s="15">
        <v>1E+30</v>
      </c>
    </row>
    <row r="34" spans="2:8" ht="12.75">
      <c r="B34" s="15" t="s">
        <v>112</v>
      </c>
      <c r="C34" s="15" t="s">
        <v>113</v>
      </c>
      <c r="D34" s="19">
        <v>8145</v>
      </c>
      <c r="E34" s="19">
        <v>0</v>
      </c>
      <c r="F34" s="15">
        <v>207.50000000804974</v>
      </c>
      <c r="G34" s="15">
        <v>1E+30</v>
      </c>
      <c r="H34" s="15">
        <v>7.760000554559638</v>
      </c>
    </row>
    <row r="35" spans="2:8" ht="13.5" thickBot="1">
      <c r="B35" s="16" t="s">
        <v>114</v>
      </c>
      <c r="C35" s="16" t="s">
        <v>115</v>
      </c>
      <c r="D35" s="20">
        <v>0</v>
      </c>
      <c r="E35" s="20">
        <v>-7.76000055472514</v>
      </c>
      <c r="F35" s="16">
        <v>197.05999940633774</v>
      </c>
      <c r="G35" s="16">
        <v>7.76000055472514</v>
      </c>
      <c r="H35" s="16">
        <v>1E+30</v>
      </c>
    </row>
    <row r="36" ht="12.75">
      <c r="G36" t="s">
        <v>159</v>
      </c>
    </row>
    <row r="37" spans="1:7" ht="13.5" thickBot="1">
      <c r="A37" t="s">
        <v>57</v>
      </c>
      <c r="G37" t="s">
        <v>160</v>
      </c>
    </row>
    <row r="38" spans="2:8" ht="12.75">
      <c r="B38" s="17"/>
      <c r="C38" s="17"/>
      <c r="D38" s="17" t="s">
        <v>48</v>
      </c>
      <c r="E38" s="17" t="s">
        <v>58</v>
      </c>
      <c r="F38" s="17" t="s">
        <v>60</v>
      </c>
      <c r="G38" s="17" t="s">
        <v>54</v>
      </c>
      <c r="H38" s="17" t="s">
        <v>54</v>
      </c>
    </row>
    <row r="39" spans="2:15" ht="13.5" thickBot="1">
      <c r="B39" s="18" t="s">
        <v>46</v>
      </c>
      <c r="C39" s="18" t="s">
        <v>47</v>
      </c>
      <c r="D39" s="18" t="s">
        <v>49</v>
      </c>
      <c r="E39" s="18" t="s">
        <v>59</v>
      </c>
      <c r="F39" s="18" t="s">
        <v>61</v>
      </c>
      <c r="G39" s="18" t="s">
        <v>55</v>
      </c>
      <c r="H39" s="18" t="s">
        <v>56</v>
      </c>
      <c r="K39" s="33" t="s">
        <v>173</v>
      </c>
      <c r="L39" s="33" t="s">
        <v>174</v>
      </c>
      <c r="N39" t="s">
        <v>55</v>
      </c>
      <c r="O39" t="s">
        <v>56</v>
      </c>
    </row>
    <row r="40" spans="2:15" ht="12.75">
      <c r="B40" s="15" t="s">
        <v>116</v>
      </c>
      <c r="C40" s="23" t="s">
        <v>117</v>
      </c>
      <c r="D40" s="21">
        <v>40727</v>
      </c>
      <c r="E40" s="21">
        <v>342.22000000250443</v>
      </c>
      <c r="F40" s="15">
        <v>40727</v>
      </c>
      <c r="G40" s="19">
        <v>15909.14285717124</v>
      </c>
      <c r="H40" s="19">
        <v>7850.857142871207</v>
      </c>
      <c r="K40" s="31" t="s">
        <v>5</v>
      </c>
      <c r="L40" s="32">
        <v>342.22000000250443</v>
      </c>
      <c r="N40">
        <v>15909</v>
      </c>
      <c r="O40">
        <v>7851</v>
      </c>
    </row>
    <row r="41" spans="2:12" ht="12.75">
      <c r="B41" s="15" t="s">
        <v>118</v>
      </c>
      <c r="C41" s="23" t="s">
        <v>119</v>
      </c>
      <c r="D41" s="21">
        <v>55608</v>
      </c>
      <c r="E41" s="21">
        <v>294.41000000189973</v>
      </c>
      <c r="F41" s="15">
        <v>55608</v>
      </c>
      <c r="G41" s="19">
        <v>15909.142857169907</v>
      </c>
      <c r="H41" s="19">
        <v>7850.857142870549</v>
      </c>
      <c r="K41" s="31" t="s">
        <v>12</v>
      </c>
      <c r="L41" s="32">
        <v>299.4100000019931</v>
      </c>
    </row>
    <row r="42" spans="2:12" ht="12.75">
      <c r="B42" s="15" t="s">
        <v>120</v>
      </c>
      <c r="C42" s="23" t="s">
        <v>121</v>
      </c>
      <c r="D42" s="21">
        <v>92680</v>
      </c>
      <c r="E42" s="21">
        <v>197.7600000002</v>
      </c>
      <c r="F42" s="15">
        <v>92680</v>
      </c>
      <c r="G42" s="19">
        <v>15909.142857167797</v>
      </c>
      <c r="H42" s="19">
        <v>7850.857142869508</v>
      </c>
      <c r="K42" s="31" t="s">
        <v>6</v>
      </c>
      <c r="L42" s="32">
        <v>294.41000000189973</v>
      </c>
    </row>
    <row r="43" spans="2:12" ht="12.75">
      <c r="B43" s="15" t="s">
        <v>122</v>
      </c>
      <c r="C43" s="23" t="s">
        <v>123</v>
      </c>
      <c r="D43" s="21">
        <v>92680</v>
      </c>
      <c r="E43" s="21">
        <v>193.82000000150953</v>
      </c>
      <c r="F43" s="15">
        <v>92680</v>
      </c>
      <c r="G43" s="19">
        <v>15909.14285714282</v>
      </c>
      <c r="H43" s="19">
        <v>7850.857142857182</v>
      </c>
      <c r="K43" s="31" t="s">
        <v>11</v>
      </c>
      <c r="L43" s="32">
        <v>273.4100000022959</v>
      </c>
    </row>
    <row r="44" spans="2:12" ht="12.75">
      <c r="B44" s="15" t="s">
        <v>124</v>
      </c>
      <c r="C44" s="23" t="s">
        <v>125</v>
      </c>
      <c r="D44" s="21">
        <v>23832</v>
      </c>
      <c r="E44" s="21">
        <v>248.76000000384838</v>
      </c>
      <c r="F44" s="15">
        <v>23832</v>
      </c>
      <c r="G44" s="19">
        <v>15909.142857117871</v>
      </c>
      <c r="H44" s="19">
        <v>7850.85714284487</v>
      </c>
      <c r="K44" s="31" t="s">
        <v>13</v>
      </c>
      <c r="L44" s="32">
        <v>261.40000000868713</v>
      </c>
    </row>
    <row r="45" spans="2:12" ht="12.75">
      <c r="B45" s="15" t="s">
        <v>126</v>
      </c>
      <c r="C45" s="23" t="s">
        <v>127</v>
      </c>
      <c r="D45" s="21">
        <v>211841</v>
      </c>
      <c r="E45" s="21">
        <v>241.43999999994963</v>
      </c>
      <c r="F45" s="15">
        <v>211841</v>
      </c>
      <c r="G45" s="19">
        <v>15909.142857190725</v>
      </c>
      <c r="H45" s="19">
        <v>7850.857142880823</v>
      </c>
      <c r="K45" s="31" t="s">
        <v>9</v>
      </c>
      <c r="L45" s="32">
        <v>248.76000000384838</v>
      </c>
    </row>
    <row r="46" spans="2:12" ht="12.75">
      <c r="B46" s="15" t="s">
        <v>128</v>
      </c>
      <c r="C46" s="23" t="s">
        <v>129</v>
      </c>
      <c r="D46" s="21">
        <v>52960</v>
      </c>
      <c r="E46" s="21">
        <v>273.4100000022959</v>
      </c>
      <c r="F46" s="15">
        <v>52960</v>
      </c>
      <c r="G46" s="19">
        <v>15909.14285714282</v>
      </c>
      <c r="H46" s="19">
        <v>7850.857142857182</v>
      </c>
      <c r="K46" s="31" t="s">
        <v>10</v>
      </c>
      <c r="L46" s="32">
        <v>241.43999999994963</v>
      </c>
    </row>
    <row r="47" spans="2:12" ht="12.75">
      <c r="B47" s="15" t="s">
        <v>130</v>
      </c>
      <c r="C47" s="23" t="s">
        <v>131</v>
      </c>
      <c r="D47" s="21">
        <v>32581</v>
      </c>
      <c r="E47" s="21">
        <v>299.4100000019931</v>
      </c>
      <c r="F47" s="15">
        <v>32581</v>
      </c>
      <c r="G47" s="19">
        <v>15909.142857155195</v>
      </c>
      <c r="H47" s="19">
        <v>7850.857142863289</v>
      </c>
      <c r="K47" s="31" t="s">
        <v>7</v>
      </c>
      <c r="L47" s="32">
        <v>197.7600000002</v>
      </c>
    </row>
    <row r="48" spans="2:12" ht="12.75">
      <c r="B48" s="15" t="s">
        <v>132</v>
      </c>
      <c r="C48" s="23" t="s">
        <v>133</v>
      </c>
      <c r="D48" s="21">
        <v>8145</v>
      </c>
      <c r="E48" s="21">
        <v>261.40000000868713</v>
      </c>
      <c r="F48" s="15">
        <v>8145</v>
      </c>
      <c r="G48" s="19">
        <v>15909.142857000701</v>
      </c>
      <c r="H48" s="19">
        <v>7850.857142787049</v>
      </c>
      <c r="K48" s="31" t="s">
        <v>8</v>
      </c>
      <c r="L48" s="32">
        <v>193.82000000150953</v>
      </c>
    </row>
    <row r="49" spans="2:8" ht="12.75">
      <c r="B49" s="15" t="s">
        <v>134</v>
      </c>
      <c r="C49" s="24" t="s">
        <v>135</v>
      </c>
      <c r="D49" s="19">
        <v>150410.8571428572</v>
      </c>
      <c r="E49" s="19">
        <v>0</v>
      </c>
      <c r="F49" s="15">
        <v>166320</v>
      </c>
      <c r="G49" s="15">
        <v>1E+30</v>
      </c>
      <c r="H49" s="19">
        <v>15909.142857142819</v>
      </c>
    </row>
    <row r="50" spans="2:8" ht="12.75">
      <c r="B50" s="15" t="s">
        <v>136</v>
      </c>
      <c r="C50" s="24" t="s">
        <v>137</v>
      </c>
      <c r="D50" s="19">
        <v>233434.2857142857</v>
      </c>
      <c r="E50" s="19">
        <v>0</v>
      </c>
      <c r="F50" s="15">
        <v>272340</v>
      </c>
      <c r="G50" s="15">
        <v>1E+30</v>
      </c>
      <c r="H50" s="19">
        <v>38905.714285714326</v>
      </c>
    </row>
    <row r="51" spans="2:11" ht="12.75">
      <c r="B51" s="15" t="s">
        <v>138</v>
      </c>
      <c r="C51" s="24" t="s">
        <v>139</v>
      </c>
      <c r="D51" s="19">
        <v>227208.85714285713</v>
      </c>
      <c r="E51" s="19">
        <v>0</v>
      </c>
      <c r="F51" s="15">
        <v>265077</v>
      </c>
      <c r="G51" s="15">
        <v>1E+30</v>
      </c>
      <c r="H51" s="19">
        <v>37868.14285714287</v>
      </c>
      <c r="K51" t="s">
        <v>175</v>
      </c>
    </row>
    <row r="52" spans="2:11" ht="12.75">
      <c r="B52" s="15" t="s">
        <v>134</v>
      </c>
      <c r="C52" s="25" t="s">
        <v>135</v>
      </c>
      <c r="D52" s="19">
        <v>150410.8571428572</v>
      </c>
      <c r="E52" s="19">
        <v>0</v>
      </c>
      <c r="F52" s="15">
        <v>142560</v>
      </c>
      <c r="G52" s="19">
        <v>7850.857142857181</v>
      </c>
      <c r="H52" s="15">
        <v>1E+30</v>
      </c>
      <c r="K52" t="s">
        <v>176</v>
      </c>
    </row>
    <row r="53" spans="2:8" ht="12.75">
      <c r="B53" s="15" t="s">
        <v>136</v>
      </c>
      <c r="C53" s="25" t="s">
        <v>137</v>
      </c>
      <c r="D53" s="19">
        <v>233434.2857142857</v>
      </c>
      <c r="E53" s="19">
        <v>-53.900000000259716</v>
      </c>
      <c r="F53" s="19">
        <v>233434.2857142857</v>
      </c>
      <c r="G53" s="19">
        <v>7850.857142857182</v>
      </c>
      <c r="H53" s="19">
        <v>15909.14285714282</v>
      </c>
    </row>
    <row r="54" spans="2:8" ht="13.5" thickBot="1">
      <c r="B54" s="16" t="s">
        <v>138</v>
      </c>
      <c r="C54" s="26" t="s">
        <v>139</v>
      </c>
      <c r="D54" s="20">
        <v>227208.85714285713</v>
      </c>
      <c r="E54" s="20">
        <v>-56.58000000063583</v>
      </c>
      <c r="F54" s="20">
        <v>227208.85714285713</v>
      </c>
      <c r="G54" s="20">
        <v>7850.857142880823</v>
      </c>
      <c r="H54" s="20">
        <v>15909.142857190725</v>
      </c>
    </row>
    <row r="55" spans="2:11" ht="12.75">
      <c r="B55" s="30"/>
      <c r="K55" t="s">
        <v>177</v>
      </c>
    </row>
    <row r="56" spans="3:11" ht="12.75">
      <c r="C56" s="27"/>
      <c r="E56" t="s">
        <v>161</v>
      </c>
      <c r="K56" t="s">
        <v>178</v>
      </c>
    </row>
    <row r="57" spans="3:11" ht="12.75">
      <c r="C57" s="28"/>
      <c r="E57" t="s">
        <v>162</v>
      </c>
      <c r="K57" t="s">
        <v>179</v>
      </c>
    </row>
    <row r="58" spans="3:11" ht="12.75">
      <c r="C58" s="29"/>
      <c r="E58" t="s">
        <v>163</v>
      </c>
      <c r="K58" t="s">
        <v>180</v>
      </c>
    </row>
    <row r="59" ht="12.75">
      <c r="K59" t="s">
        <v>181</v>
      </c>
    </row>
    <row r="60" ht="12.75">
      <c r="B60" t="s">
        <v>168</v>
      </c>
    </row>
    <row r="61" spans="3:13" ht="12.75">
      <c r="C61" s="28"/>
      <c r="E61" t="s">
        <v>164</v>
      </c>
      <c r="K61" t="s">
        <v>182</v>
      </c>
      <c r="M61" s="27">
        <f>O40*(L40-L48)</f>
        <v>1165088.400007811</v>
      </c>
    </row>
    <row r="62" spans="3:5" ht="12.75">
      <c r="C62" s="29"/>
      <c r="E62" t="s">
        <v>166</v>
      </c>
    </row>
    <row r="63" ht="12.75">
      <c r="E63" t="s">
        <v>165</v>
      </c>
    </row>
    <row r="64" ht="12.75">
      <c r="E64" t="s">
        <v>167</v>
      </c>
    </row>
    <row r="66" ht="12.75">
      <c r="B66" t="s">
        <v>169</v>
      </c>
    </row>
    <row r="67" spans="3:5" ht="12.75">
      <c r="C67" s="27"/>
      <c r="E67" t="s">
        <v>170</v>
      </c>
    </row>
    <row r="68" ht="12.75">
      <c r="E68" t="s">
        <v>171</v>
      </c>
    </row>
    <row r="69" ht="12.75">
      <c r="E69" t="s">
        <v>172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2"/>
  <sheetViews>
    <sheetView zoomScale="150" zoomScaleNormal="150" workbookViewId="0" topLeftCell="A14">
      <selection activeCell="G17" sqref="G17"/>
    </sheetView>
  </sheetViews>
  <sheetFormatPr defaultColWidth="9.140625" defaultRowHeight="12.75"/>
  <cols>
    <col min="2" max="2" width="14.421875" style="0" bestFit="1" customWidth="1"/>
    <col min="3" max="3" width="12.00390625" style="0" bestFit="1" customWidth="1"/>
    <col min="4" max="4" width="12.7109375" style="0" bestFit="1" customWidth="1"/>
    <col min="5" max="5" width="12.00390625" style="0" bestFit="1" customWidth="1"/>
    <col min="8" max="8" width="10.7109375" style="0" customWidth="1"/>
    <col min="9" max="9" width="15.57421875" style="0" bestFit="1" customWidth="1"/>
    <col min="10" max="10" width="13.140625" style="0" customWidth="1"/>
  </cols>
  <sheetData>
    <row r="1" spans="3:11" ht="12.75">
      <c r="C1" t="s">
        <v>26</v>
      </c>
      <c r="K1" t="s">
        <v>27</v>
      </c>
    </row>
    <row r="2" spans="2:4" ht="12.75">
      <c r="B2" t="s">
        <v>4</v>
      </c>
      <c r="D2" s="1" t="s">
        <v>0</v>
      </c>
    </row>
    <row r="3" spans="3:13" ht="12.75">
      <c r="C3" t="s">
        <v>1</v>
      </c>
      <c r="D3" t="s">
        <v>2</v>
      </c>
      <c r="E3" t="s">
        <v>3</v>
      </c>
      <c r="F3" t="s">
        <v>20</v>
      </c>
      <c r="G3" t="s">
        <v>21</v>
      </c>
      <c r="K3" t="s">
        <v>1</v>
      </c>
      <c r="L3" t="s">
        <v>2</v>
      </c>
      <c r="M3" t="s">
        <v>3</v>
      </c>
    </row>
    <row r="4" spans="2:13" ht="12.75">
      <c r="B4" t="s">
        <v>5</v>
      </c>
      <c r="C4" s="2"/>
      <c r="D4" s="2">
        <v>46.68</v>
      </c>
      <c r="E4" s="2">
        <v>52.8</v>
      </c>
      <c r="F4" s="2">
        <v>40727</v>
      </c>
      <c r="G4" s="3">
        <v>750</v>
      </c>
      <c r="J4" t="s">
        <v>5</v>
      </c>
      <c r="K4" s="2"/>
      <c r="L4" s="2">
        <f aca="true" t="shared" si="0" ref="L4:L12">G4-D4-$D$17</f>
        <v>288.32000000000005</v>
      </c>
      <c r="M4" s="2">
        <f aca="true" t="shared" si="1" ref="M4:M12">G4-E4-$E$17</f>
        <v>282.20000000000005</v>
      </c>
    </row>
    <row r="5" spans="2:13" ht="12.75">
      <c r="B5" t="s">
        <v>6</v>
      </c>
      <c r="C5" s="2">
        <v>89.77</v>
      </c>
      <c r="D5" s="2">
        <v>128.82</v>
      </c>
      <c r="E5" s="2">
        <v>97.17</v>
      </c>
      <c r="F5" s="3">
        <v>55608</v>
      </c>
      <c r="G5" s="3">
        <v>750</v>
      </c>
      <c r="J5" t="s">
        <v>6</v>
      </c>
      <c r="K5" s="2">
        <f>G5-C5-$C$17</f>
        <v>270.23</v>
      </c>
      <c r="L5" s="2">
        <f t="shared" si="0"/>
        <v>206.18000000000006</v>
      </c>
      <c r="M5" s="2">
        <f t="shared" si="1"/>
        <v>237.83000000000004</v>
      </c>
    </row>
    <row r="6" spans="2:13" ht="12.75">
      <c r="B6" t="s">
        <v>7</v>
      </c>
      <c r="C6" s="2">
        <v>162.24</v>
      </c>
      <c r="D6" s="2">
        <v>204.13</v>
      </c>
      <c r="E6" s="2">
        <v>210.42</v>
      </c>
      <c r="F6" s="3">
        <v>92680</v>
      </c>
      <c r="G6" s="3">
        <v>750</v>
      </c>
      <c r="J6" t="s">
        <v>7</v>
      </c>
      <c r="K6" s="2">
        <f>G6-C6-$C$17</f>
        <v>197.76</v>
      </c>
      <c r="L6" s="2">
        <f t="shared" si="0"/>
        <v>130.87</v>
      </c>
      <c r="M6" s="2">
        <f t="shared" si="1"/>
        <v>124.58000000000004</v>
      </c>
    </row>
    <row r="7" spans="2:13" ht="12.75">
      <c r="B7" t="s">
        <v>8</v>
      </c>
      <c r="C7" s="2">
        <v>166.18</v>
      </c>
      <c r="D7" s="2">
        <v>195.08</v>
      </c>
      <c r="E7" s="2">
        <v>200.62</v>
      </c>
      <c r="F7" s="3">
        <v>92680</v>
      </c>
      <c r="G7" s="3">
        <v>750</v>
      </c>
      <c r="J7" t="s">
        <v>8</v>
      </c>
      <c r="K7" s="2">
        <f>G7-C7-$C$17</f>
        <v>193.81999999999994</v>
      </c>
      <c r="L7" s="2">
        <f t="shared" si="0"/>
        <v>139.91999999999996</v>
      </c>
      <c r="M7" s="2">
        <f t="shared" si="1"/>
        <v>134.38</v>
      </c>
    </row>
    <row r="8" spans="2:13" ht="12.75">
      <c r="B8" t="s">
        <v>9</v>
      </c>
      <c r="C8" s="2">
        <v>151.77</v>
      </c>
      <c r="D8" s="2">
        <v>162.83</v>
      </c>
      <c r="E8" s="2">
        <v>142.82</v>
      </c>
      <c r="F8" s="3">
        <v>23832</v>
      </c>
      <c r="G8" s="3">
        <v>750</v>
      </c>
      <c r="J8" t="s">
        <v>9</v>
      </c>
      <c r="K8" s="2">
        <f>G8-C8-$C$17</f>
        <v>208.23000000000002</v>
      </c>
      <c r="L8" s="2">
        <f t="shared" si="0"/>
        <v>172.16999999999996</v>
      </c>
      <c r="M8" s="2">
        <f t="shared" si="1"/>
        <v>192.18000000000006</v>
      </c>
    </row>
    <row r="9" spans="2:13" ht="12.75">
      <c r="B9" t="s">
        <v>10</v>
      </c>
      <c r="C9" s="2"/>
      <c r="D9" s="2">
        <v>147.46</v>
      </c>
      <c r="E9" s="2">
        <v>150.14</v>
      </c>
      <c r="F9" s="3">
        <v>211841</v>
      </c>
      <c r="G9" s="3">
        <v>750</v>
      </c>
      <c r="J9" t="s">
        <v>10</v>
      </c>
      <c r="K9" s="2"/>
      <c r="L9" s="2">
        <f t="shared" si="0"/>
        <v>187.53999999999996</v>
      </c>
      <c r="M9" s="2">
        <f t="shared" si="1"/>
        <v>184.86</v>
      </c>
    </row>
    <row r="10" spans="2:13" ht="12.75">
      <c r="B10" t="s">
        <v>11</v>
      </c>
      <c r="C10" s="2">
        <v>151.11</v>
      </c>
      <c r="D10" s="2">
        <v>115.49</v>
      </c>
      <c r="E10" s="2">
        <v>124.83</v>
      </c>
      <c r="F10" s="3">
        <v>52960</v>
      </c>
      <c r="G10" s="3">
        <v>750</v>
      </c>
      <c r="J10" t="s">
        <v>11</v>
      </c>
      <c r="K10" s="2">
        <f>G10-C10-$C$17</f>
        <v>208.89</v>
      </c>
      <c r="L10" s="2">
        <f t="shared" si="0"/>
        <v>219.51</v>
      </c>
      <c r="M10" s="2">
        <f t="shared" si="1"/>
        <v>210.16999999999996</v>
      </c>
    </row>
    <row r="11" spans="2:13" ht="12.75">
      <c r="B11" t="s">
        <v>12</v>
      </c>
      <c r="C11" s="2"/>
      <c r="D11" s="2">
        <v>72.42</v>
      </c>
      <c r="E11" s="2">
        <v>42.17</v>
      </c>
      <c r="F11" s="3">
        <v>32581</v>
      </c>
      <c r="G11" s="3">
        <v>700</v>
      </c>
      <c r="J11" t="s">
        <v>12</v>
      </c>
      <c r="K11" s="2"/>
      <c r="L11" s="2">
        <f t="shared" si="0"/>
        <v>212.58000000000004</v>
      </c>
      <c r="M11" s="2">
        <f t="shared" si="1"/>
        <v>242.83000000000004</v>
      </c>
    </row>
    <row r="12" spans="2:13" ht="12.75">
      <c r="B12" t="s">
        <v>13</v>
      </c>
      <c r="C12" s="2"/>
      <c r="D12" s="2">
        <v>77.5</v>
      </c>
      <c r="E12" s="2">
        <v>87.94</v>
      </c>
      <c r="F12" s="3">
        <v>8145</v>
      </c>
      <c r="G12" s="3">
        <v>700</v>
      </c>
      <c r="J12" t="s">
        <v>13</v>
      </c>
      <c r="K12" s="2"/>
      <c r="L12" s="2">
        <f t="shared" si="0"/>
        <v>207.5</v>
      </c>
      <c r="M12" s="2">
        <f t="shared" si="1"/>
        <v>197.05999999999995</v>
      </c>
    </row>
    <row r="14" spans="2:5" ht="12.75">
      <c r="B14" t="s">
        <v>14</v>
      </c>
      <c r="C14" s="2">
        <v>166320</v>
      </c>
      <c r="D14" s="3">
        <v>272340</v>
      </c>
      <c r="E14" s="3">
        <v>265077</v>
      </c>
    </row>
    <row r="15" spans="2:5" ht="12.75">
      <c r="B15" t="s">
        <v>15</v>
      </c>
      <c r="C15" s="2">
        <f>6/7*C14</f>
        <v>142560</v>
      </c>
      <c r="D15" s="4">
        <f>6/7*D14</f>
        <v>233434.2857142857</v>
      </c>
      <c r="E15" s="4">
        <f>6/7*E14</f>
        <v>227208.85714285713</v>
      </c>
    </row>
    <row r="17" spans="2:5" ht="12.75">
      <c r="B17" t="s">
        <v>22</v>
      </c>
      <c r="C17" s="2">
        <v>390</v>
      </c>
      <c r="D17" s="2">
        <v>415</v>
      </c>
      <c r="E17" s="2">
        <v>415</v>
      </c>
    </row>
    <row r="19" ht="12.75">
      <c r="B19" t="s">
        <v>24</v>
      </c>
    </row>
    <row r="20" spans="3:6" ht="12.75">
      <c r="C20" t="s">
        <v>1</v>
      </c>
      <c r="D20" t="s">
        <v>2</v>
      </c>
      <c r="E20" t="s">
        <v>3</v>
      </c>
      <c r="F20" t="s">
        <v>29</v>
      </c>
    </row>
    <row r="21" spans="2:6" ht="12.75">
      <c r="B21" t="s">
        <v>5</v>
      </c>
      <c r="C21" s="11">
        <v>0</v>
      </c>
      <c r="D21" s="11">
        <v>40727</v>
      </c>
      <c r="E21" s="11">
        <v>0</v>
      </c>
      <c r="F21" s="2">
        <f aca="true" t="shared" si="2" ref="F21:F29">SUM(C21:E21)</f>
        <v>40727</v>
      </c>
    </row>
    <row r="22" spans="2:6" ht="12.75">
      <c r="B22" t="s">
        <v>6</v>
      </c>
      <c r="C22" s="11">
        <v>0</v>
      </c>
      <c r="D22" s="11">
        <v>0</v>
      </c>
      <c r="E22" s="11">
        <v>55608</v>
      </c>
      <c r="F22" s="2">
        <f t="shared" si="2"/>
        <v>55608</v>
      </c>
    </row>
    <row r="23" spans="2:9" ht="12.75">
      <c r="B23" t="s">
        <v>7</v>
      </c>
      <c r="C23" s="11">
        <v>92680</v>
      </c>
      <c r="D23" s="11">
        <v>0</v>
      </c>
      <c r="E23" s="11">
        <v>0</v>
      </c>
      <c r="F23" s="2">
        <f t="shared" si="2"/>
        <v>92680</v>
      </c>
      <c r="H23" t="s">
        <v>28</v>
      </c>
      <c r="I23" s="9">
        <f>SUMPRODUCT(C21:E29,K4:M12)</f>
        <v>124602507.65285714</v>
      </c>
    </row>
    <row r="24" spans="2:6" ht="12.75">
      <c r="B24" t="s">
        <v>8</v>
      </c>
      <c r="C24" s="11">
        <v>57730.857142857196</v>
      </c>
      <c r="D24" s="11">
        <v>34949.14285714282</v>
      </c>
      <c r="E24" s="11">
        <v>0</v>
      </c>
      <c r="F24" s="2">
        <f t="shared" si="2"/>
        <v>92680.00000000001</v>
      </c>
    </row>
    <row r="25" spans="2:9" ht="12.75">
      <c r="B25" t="s">
        <v>9</v>
      </c>
      <c r="C25" s="11">
        <v>0</v>
      </c>
      <c r="D25" s="11">
        <v>0</v>
      </c>
      <c r="E25" s="11">
        <v>23832</v>
      </c>
      <c r="F25" s="2">
        <f t="shared" si="2"/>
        <v>23832</v>
      </c>
      <c r="I25" t="s">
        <v>33</v>
      </c>
    </row>
    <row r="26" spans="2:6" ht="12.75">
      <c r="B26" t="s">
        <v>10</v>
      </c>
      <c r="C26" s="11">
        <v>0</v>
      </c>
      <c r="D26" s="11">
        <v>96653.1428571429</v>
      </c>
      <c r="E26" s="11">
        <v>115187.85714285713</v>
      </c>
      <c r="F26" s="2">
        <f t="shared" si="2"/>
        <v>211841.00000000003</v>
      </c>
    </row>
    <row r="27" spans="2:10" ht="12.75">
      <c r="B27" t="s">
        <v>11</v>
      </c>
      <c r="C27" s="11">
        <v>0</v>
      </c>
      <c r="D27" s="11">
        <v>52960</v>
      </c>
      <c r="E27" s="11">
        <v>0</v>
      </c>
      <c r="F27" s="2">
        <f t="shared" si="2"/>
        <v>52960</v>
      </c>
      <c r="H27" t="s">
        <v>34</v>
      </c>
      <c r="J27" s="12">
        <f>I23-'Current Allocation'!I23</f>
        <v>3064640.5028571337</v>
      </c>
    </row>
    <row r="28" spans="2:6" ht="12.75">
      <c r="B28" t="s">
        <v>12</v>
      </c>
      <c r="C28" s="11">
        <v>0</v>
      </c>
      <c r="D28" s="11">
        <v>0</v>
      </c>
      <c r="E28" s="11">
        <v>32581</v>
      </c>
      <c r="F28" s="2">
        <f t="shared" si="2"/>
        <v>32581</v>
      </c>
    </row>
    <row r="29" spans="2:6" ht="12.75">
      <c r="B29" t="s">
        <v>13</v>
      </c>
      <c r="C29" s="11">
        <v>0</v>
      </c>
      <c r="D29" s="11">
        <v>8145</v>
      </c>
      <c r="E29" s="11">
        <v>0</v>
      </c>
      <c r="F29" s="2">
        <f t="shared" si="2"/>
        <v>8145</v>
      </c>
    </row>
    <row r="30" spans="2:5" ht="12.75">
      <c r="B30" t="s">
        <v>29</v>
      </c>
      <c r="C30" s="4">
        <f>SUM(C21:C29)</f>
        <v>150410.8571428572</v>
      </c>
      <c r="D30" s="4">
        <f>SUM(D21:D29)</f>
        <v>233434.2857142857</v>
      </c>
      <c r="E30" s="4">
        <f>SUM(E21:E29)</f>
        <v>227208.85714285713</v>
      </c>
    </row>
    <row r="32" spans="2:7" ht="12.75">
      <c r="B32" t="s">
        <v>31</v>
      </c>
      <c r="C32" s="10">
        <f>C30/C14</f>
        <v>0.9043461829176118</v>
      </c>
      <c r="D32" s="10">
        <f>D30/D14</f>
        <v>0.8571428571428571</v>
      </c>
      <c r="E32" s="10">
        <f>E30/E14</f>
        <v>0.8571428571428571</v>
      </c>
      <c r="G32" t="s">
        <v>35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2"/>
  <sheetViews>
    <sheetView zoomScale="150" zoomScaleNormal="150" workbookViewId="0" topLeftCell="A13">
      <selection activeCell="H29" sqref="H29"/>
    </sheetView>
  </sheetViews>
  <sheetFormatPr defaultColWidth="9.140625" defaultRowHeight="12.75"/>
  <cols>
    <col min="2" max="2" width="14.421875" style="0" bestFit="1" customWidth="1"/>
    <col min="3" max="3" width="11.421875" style="0" bestFit="1" customWidth="1"/>
    <col min="4" max="4" width="12.28125" style="0" bestFit="1" customWidth="1"/>
    <col min="8" max="8" width="10.7109375" style="0" customWidth="1"/>
    <col min="9" max="9" width="15.57421875" style="0" bestFit="1" customWidth="1"/>
    <col min="10" max="10" width="13.140625" style="0" customWidth="1"/>
  </cols>
  <sheetData>
    <row r="1" spans="3:11" ht="12.75">
      <c r="C1" t="s">
        <v>26</v>
      </c>
      <c r="K1" t="s">
        <v>27</v>
      </c>
    </row>
    <row r="2" spans="2:4" ht="12.75">
      <c r="B2" t="s">
        <v>4</v>
      </c>
      <c r="D2" s="1" t="s">
        <v>0</v>
      </c>
    </row>
    <row r="3" spans="3:13" ht="12.75">
      <c r="C3" t="s">
        <v>1</v>
      </c>
      <c r="D3" t="s">
        <v>2</v>
      </c>
      <c r="E3" t="s">
        <v>3</v>
      </c>
      <c r="F3" t="s">
        <v>20</v>
      </c>
      <c r="G3" t="s">
        <v>21</v>
      </c>
      <c r="K3" t="s">
        <v>1</v>
      </c>
      <c r="L3" t="s">
        <v>2</v>
      </c>
      <c r="M3" t="s">
        <v>3</v>
      </c>
    </row>
    <row r="4" spans="2:13" ht="12.75">
      <c r="B4" t="s">
        <v>5</v>
      </c>
      <c r="C4" s="2"/>
      <c r="D4" s="2">
        <v>46.68</v>
      </c>
      <c r="E4" s="2">
        <v>52.8</v>
      </c>
      <c r="F4" s="2">
        <v>40727</v>
      </c>
      <c r="G4" s="3">
        <v>750</v>
      </c>
      <c r="J4" t="s">
        <v>5</v>
      </c>
      <c r="K4" s="2"/>
      <c r="L4" s="2">
        <f>G4-D4-$D$17</f>
        <v>288.32000000000005</v>
      </c>
      <c r="M4" s="2">
        <f>G4-E4-$E$17</f>
        <v>282.20000000000005</v>
      </c>
    </row>
    <row r="5" spans="2:13" ht="12.75">
      <c r="B5" t="s">
        <v>6</v>
      </c>
      <c r="C5" s="2">
        <v>89.77</v>
      </c>
      <c r="D5" s="2">
        <v>128.82</v>
      </c>
      <c r="E5" s="2">
        <v>97.17</v>
      </c>
      <c r="F5" s="3">
        <v>55608</v>
      </c>
      <c r="G5" s="3">
        <v>750</v>
      </c>
      <c r="J5" t="s">
        <v>6</v>
      </c>
      <c r="K5" s="2">
        <f aca="true" t="shared" si="0" ref="K5:K10">G5-C5-$C$17</f>
        <v>270.23</v>
      </c>
      <c r="L5" s="2">
        <f aca="true" t="shared" si="1" ref="L5:L12">G5-D5-$D$17</f>
        <v>206.18000000000006</v>
      </c>
      <c r="M5" s="2">
        <f aca="true" t="shared" si="2" ref="M5:M12">G5-E5-$E$17</f>
        <v>237.83000000000004</v>
      </c>
    </row>
    <row r="6" spans="2:13" ht="12.75">
      <c r="B6" t="s">
        <v>7</v>
      </c>
      <c r="C6" s="2">
        <v>162.24</v>
      </c>
      <c r="D6" s="2">
        <v>204.13</v>
      </c>
      <c r="E6" s="2">
        <v>210.42</v>
      </c>
      <c r="F6" s="3">
        <v>92680</v>
      </c>
      <c r="G6" s="3">
        <v>750</v>
      </c>
      <c r="J6" t="s">
        <v>7</v>
      </c>
      <c r="K6" s="2">
        <f t="shared" si="0"/>
        <v>197.76</v>
      </c>
      <c r="L6" s="2">
        <f t="shared" si="1"/>
        <v>130.87</v>
      </c>
      <c r="M6" s="2">
        <f t="shared" si="2"/>
        <v>124.58000000000004</v>
      </c>
    </row>
    <row r="7" spans="2:13" ht="12.75">
      <c r="B7" t="s">
        <v>8</v>
      </c>
      <c r="C7" s="2">
        <v>166.18</v>
      </c>
      <c r="D7" s="2">
        <v>195.08</v>
      </c>
      <c r="E7" s="2">
        <v>200.62</v>
      </c>
      <c r="F7" s="3">
        <v>92680</v>
      </c>
      <c r="G7" s="3">
        <v>750</v>
      </c>
      <c r="J7" t="s">
        <v>8</v>
      </c>
      <c r="K7" s="2">
        <f t="shared" si="0"/>
        <v>193.81999999999994</v>
      </c>
      <c r="L7" s="2">
        <f t="shared" si="1"/>
        <v>139.91999999999996</v>
      </c>
      <c r="M7" s="2">
        <f t="shared" si="2"/>
        <v>134.38</v>
      </c>
    </row>
    <row r="8" spans="2:13" ht="12.75">
      <c r="B8" t="s">
        <v>9</v>
      </c>
      <c r="C8" s="2">
        <v>151.77</v>
      </c>
      <c r="D8" s="2">
        <v>162.83</v>
      </c>
      <c r="E8" s="2">
        <v>142.82</v>
      </c>
      <c r="F8" s="3">
        <v>23832</v>
      </c>
      <c r="G8" s="3">
        <v>750</v>
      </c>
      <c r="J8" t="s">
        <v>9</v>
      </c>
      <c r="K8" s="2">
        <f t="shared" si="0"/>
        <v>208.23000000000002</v>
      </c>
      <c r="L8" s="2">
        <f t="shared" si="1"/>
        <v>172.16999999999996</v>
      </c>
      <c r="M8" s="2">
        <f t="shared" si="2"/>
        <v>192.18000000000006</v>
      </c>
    </row>
    <row r="9" spans="2:13" ht="12.75">
      <c r="B9" t="s">
        <v>10</v>
      </c>
      <c r="C9" s="2"/>
      <c r="D9" s="2">
        <v>147.46</v>
      </c>
      <c r="E9" s="2">
        <v>150.14</v>
      </c>
      <c r="F9" s="3">
        <v>211841</v>
      </c>
      <c r="G9" s="3">
        <v>750</v>
      </c>
      <c r="J9" t="s">
        <v>10</v>
      </c>
      <c r="K9" s="2"/>
      <c r="L9" s="2">
        <f t="shared" si="1"/>
        <v>187.53999999999996</v>
      </c>
      <c r="M9" s="2">
        <f t="shared" si="2"/>
        <v>184.86</v>
      </c>
    </row>
    <row r="10" spans="2:13" ht="12.75">
      <c r="B10" t="s">
        <v>11</v>
      </c>
      <c r="C10" s="2">
        <v>151.11</v>
      </c>
      <c r="D10" s="2">
        <v>115.49</v>
      </c>
      <c r="E10" s="2">
        <v>124.83</v>
      </c>
      <c r="F10" s="3">
        <v>52960</v>
      </c>
      <c r="G10" s="3">
        <v>750</v>
      </c>
      <c r="J10" t="s">
        <v>11</v>
      </c>
      <c r="K10" s="2">
        <f t="shared" si="0"/>
        <v>208.89</v>
      </c>
      <c r="L10" s="2">
        <f t="shared" si="1"/>
        <v>219.51</v>
      </c>
      <c r="M10" s="2">
        <f t="shared" si="2"/>
        <v>210.16999999999996</v>
      </c>
    </row>
    <row r="11" spans="2:13" ht="12.75">
      <c r="B11" t="s">
        <v>12</v>
      </c>
      <c r="C11" s="2"/>
      <c r="D11" s="2">
        <v>72.42</v>
      </c>
      <c r="E11" s="2">
        <v>42.17</v>
      </c>
      <c r="F11" s="3">
        <v>32581</v>
      </c>
      <c r="G11" s="3">
        <v>700</v>
      </c>
      <c r="J11" t="s">
        <v>12</v>
      </c>
      <c r="K11" s="2"/>
      <c r="L11" s="2">
        <f t="shared" si="1"/>
        <v>212.58000000000004</v>
      </c>
      <c r="M11" s="2">
        <f t="shared" si="2"/>
        <v>242.83000000000004</v>
      </c>
    </row>
    <row r="12" spans="2:13" ht="12.75">
      <c r="B12" t="s">
        <v>13</v>
      </c>
      <c r="C12" s="2"/>
      <c r="D12" s="2">
        <v>77.5</v>
      </c>
      <c r="E12" s="2">
        <v>87.94</v>
      </c>
      <c r="F12" s="3">
        <v>8145</v>
      </c>
      <c r="G12" s="3">
        <v>700</v>
      </c>
      <c r="J12" t="s">
        <v>13</v>
      </c>
      <c r="K12" s="2"/>
      <c r="L12" s="2">
        <f t="shared" si="1"/>
        <v>207.5</v>
      </c>
      <c r="M12" s="2">
        <f t="shared" si="2"/>
        <v>197.05999999999995</v>
      </c>
    </row>
    <row r="14" spans="2:5" ht="12.75">
      <c r="B14" t="s">
        <v>14</v>
      </c>
      <c r="C14" s="2">
        <v>166320</v>
      </c>
      <c r="D14" s="3">
        <v>272340</v>
      </c>
      <c r="E14" s="3">
        <v>265077</v>
      </c>
    </row>
    <row r="15" spans="2:5" ht="12.75">
      <c r="B15" t="s">
        <v>15</v>
      </c>
      <c r="C15" s="2">
        <f>6/7*C14</f>
        <v>142560</v>
      </c>
      <c r="D15" s="4">
        <f>6/7*D14</f>
        <v>233434.2857142857</v>
      </c>
      <c r="E15" s="4">
        <f>6/7*E14</f>
        <v>227208.85714285713</v>
      </c>
    </row>
    <row r="17" spans="2:5" ht="12.75">
      <c r="B17" t="s">
        <v>22</v>
      </c>
      <c r="C17" s="2">
        <v>390</v>
      </c>
      <c r="D17" s="2">
        <v>415</v>
      </c>
      <c r="E17" s="2">
        <v>415</v>
      </c>
    </row>
    <row r="19" ht="12.75">
      <c r="B19" t="s">
        <v>24</v>
      </c>
    </row>
    <row r="20" spans="3:6" ht="12.75">
      <c r="C20" t="s">
        <v>1</v>
      </c>
      <c r="D20" t="s">
        <v>2</v>
      </c>
      <c r="E20" t="s">
        <v>3</v>
      </c>
      <c r="F20" t="s">
        <v>29</v>
      </c>
    </row>
    <row r="21" spans="2:6" ht="12.75">
      <c r="B21" t="s">
        <v>5</v>
      </c>
      <c r="C21" s="6"/>
      <c r="D21" s="6">
        <v>40727</v>
      </c>
      <c r="E21" s="6"/>
      <c r="F21" s="2">
        <f>SUM(C21:E21)</f>
        <v>40727</v>
      </c>
    </row>
    <row r="22" spans="2:6" ht="12.75">
      <c r="B22" t="s">
        <v>6</v>
      </c>
      <c r="C22" s="6">
        <v>55608</v>
      </c>
      <c r="D22" s="6"/>
      <c r="E22" s="6"/>
      <c r="F22" s="2">
        <f aca="true" t="shared" si="3" ref="F22:F29">SUM(C22:E22)</f>
        <v>55608</v>
      </c>
    </row>
    <row r="23" spans="2:9" ht="12.75">
      <c r="B23" t="s">
        <v>7</v>
      </c>
      <c r="C23" s="6">
        <v>64976</v>
      </c>
      <c r="D23" s="6">
        <v>27704</v>
      </c>
      <c r="E23" s="6"/>
      <c r="F23" s="2">
        <f t="shared" si="3"/>
        <v>92680</v>
      </c>
      <c r="H23" t="s">
        <v>28</v>
      </c>
      <c r="I23" s="7">
        <f>SUMPRODUCT(C21:E29,K4:M12)</f>
        <v>121537867.15</v>
      </c>
    </row>
    <row r="24" spans="2:6" ht="12.75">
      <c r="B24" t="s">
        <v>8</v>
      </c>
      <c r="C24" s="6"/>
      <c r="D24" s="6">
        <v>92680</v>
      </c>
      <c r="E24" s="6"/>
      <c r="F24" s="2">
        <f t="shared" si="3"/>
        <v>92680</v>
      </c>
    </row>
    <row r="25" spans="2:9" ht="12.75">
      <c r="B25" t="s">
        <v>9</v>
      </c>
      <c r="C25" s="6">
        <v>23832</v>
      </c>
      <c r="D25" s="6"/>
      <c r="E25" s="6"/>
      <c r="F25" s="2">
        <f t="shared" si="3"/>
        <v>23832</v>
      </c>
      <c r="I25" t="s">
        <v>30</v>
      </c>
    </row>
    <row r="26" spans="2:6" ht="12.75">
      <c r="B26" t="s">
        <v>10</v>
      </c>
      <c r="C26" s="6"/>
      <c r="D26" s="6">
        <v>22401</v>
      </c>
      <c r="E26" s="6">
        <v>189440</v>
      </c>
      <c r="F26" s="2">
        <f t="shared" si="3"/>
        <v>211841</v>
      </c>
    </row>
    <row r="27" spans="2:6" ht="12.75">
      <c r="B27" t="s">
        <v>11</v>
      </c>
      <c r="C27" s="6"/>
      <c r="D27" s="6">
        <v>52960</v>
      </c>
      <c r="E27" s="6"/>
      <c r="F27" s="2">
        <f t="shared" si="3"/>
        <v>52960</v>
      </c>
    </row>
    <row r="28" spans="2:6" ht="12.75">
      <c r="B28" t="s">
        <v>12</v>
      </c>
      <c r="C28" s="6"/>
      <c r="D28" s="6"/>
      <c r="E28" s="6">
        <v>32581</v>
      </c>
      <c r="F28" s="2">
        <f t="shared" si="3"/>
        <v>32581</v>
      </c>
    </row>
    <row r="29" spans="2:6" ht="12.75">
      <c r="B29" t="s">
        <v>13</v>
      </c>
      <c r="C29" s="6"/>
      <c r="D29" s="6"/>
      <c r="E29" s="6">
        <v>8145</v>
      </c>
      <c r="F29" s="2">
        <f t="shared" si="3"/>
        <v>8145</v>
      </c>
    </row>
    <row r="30" spans="2:5" ht="12.75">
      <c r="B30" t="s">
        <v>29</v>
      </c>
      <c r="C30" s="2">
        <f>SUM(C21:C29)</f>
        <v>144416</v>
      </c>
      <c r="D30" s="2">
        <f>SUM(D21:D29)</f>
        <v>236472</v>
      </c>
      <c r="E30" s="2">
        <f>SUM(E21:E29)</f>
        <v>230166</v>
      </c>
    </row>
    <row r="32" spans="2:7" ht="12.75">
      <c r="B32" t="s">
        <v>31</v>
      </c>
      <c r="C32" s="8">
        <f>C30/C14</f>
        <v>0.8683020683020684</v>
      </c>
      <c r="D32" s="8">
        <f>D30/D14</f>
        <v>0.8682969817140339</v>
      </c>
      <c r="E32" s="8">
        <f>E30/E14</f>
        <v>0.8682986452992904</v>
      </c>
      <c r="G32" t="s">
        <v>32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150" zoomScaleNormal="150" workbookViewId="0" topLeftCell="A27">
      <selection activeCell="E21" sqref="E21"/>
    </sheetView>
  </sheetViews>
  <sheetFormatPr defaultColWidth="9.140625" defaultRowHeight="12.75"/>
  <cols>
    <col min="1" max="1" width="25.00390625" style="0" customWidth="1"/>
    <col min="2" max="2" width="15.57421875" style="0" bestFit="1" customWidth="1"/>
  </cols>
  <sheetData>
    <row r="1" ht="12.75">
      <c r="A1" t="s">
        <v>16</v>
      </c>
    </row>
    <row r="3" ht="12.75">
      <c r="A3" t="s">
        <v>17</v>
      </c>
    </row>
    <row r="4" spans="1:7" ht="12.75">
      <c r="A4" t="s">
        <v>18</v>
      </c>
      <c r="G4" s="5">
        <f>6/7</f>
        <v>0.8571428571428571</v>
      </c>
    </row>
    <row r="5" ht="12.75">
      <c r="A5" t="s">
        <v>19</v>
      </c>
    </row>
    <row r="8" ht="12.75">
      <c r="A8" t="s">
        <v>23</v>
      </c>
    </row>
    <row r="11" ht="12.75">
      <c r="A11" t="s">
        <v>25</v>
      </c>
    </row>
    <row r="13" ht="12.75">
      <c r="B13" t="s">
        <v>38</v>
      </c>
    </row>
    <row r="14" spans="1:2" ht="12.75">
      <c r="A14" t="s">
        <v>40</v>
      </c>
      <c r="B14" s="13">
        <f>'Current Allocation'!I23</f>
        <v>121537867.15</v>
      </c>
    </row>
    <row r="15" spans="1:2" ht="12.75">
      <c r="A15" t="s">
        <v>39</v>
      </c>
      <c r="B15" s="13">
        <f>Optimal!I23</f>
        <v>124602507.65285714</v>
      </c>
    </row>
    <row r="16" spans="1:2" ht="12.75">
      <c r="A16" t="s">
        <v>41</v>
      </c>
      <c r="B16" s="13">
        <f>'Optimal with equal utiliz'!I23</f>
        <v>124271430.38753441</v>
      </c>
    </row>
    <row r="18" ht="12.75">
      <c r="A18" t="s">
        <v>158</v>
      </c>
    </row>
    <row r="19" ht="12.75">
      <c r="A19" t="s">
        <v>151</v>
      </c>
    </row>
    <row r="21" ht="12.75">
      <c r="A21" t="s">
        <v>143</v>
      </c>
    </row>
    <row r="23" ht="12.75">
      <c r="A23" t="s">
        <v>144</v>
      </c>
    </row>
    <row r="24" ht="12.75">
      <c r="A24" t="s">
        <v>148</v>
      </c>
    </row>
    <row r="25" ht="12.75">
      <c r="A25" t="s">
        <v>145</v>
      </c>
    </row>
    <row r="26" ht="12.75">
      <c r="A26" t="s">
        <v>146</v>
      </c>
    </row>
    <row r="27" ht="12.75">
      <c r="A27" t="s">
        <v>147</v>
      </c>
    </row>
    <row r="30" ht="12.75">
      <c r="A30" t="s">
        <v>152</v>
      </c>
    </row>
    <row r="32" ht="12.75">
      <c r="A32" t="s">
        <v>153</v>
      </c>
    </row>
    <row r="34" ht="12.75">
      <c r="A34" t="s">
        <v>154</v>
      </c>
    </row>
    <row r="35" ht="12.75">
      <c r="A35" t="s">
        <v>155</v>
      </c>
    </row>
    <row r="36" ht="12.75">
      <c r="A36" t="s">
        <v>156</v>
      </c>
    </row>
    <row r="37" ht="12.75">
      <c r="A37" t="s">
        <v>157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2004-03-18T18:32:51Z</dcterms:created>
  <dcterms:modified xsi:type="dcterms:W3CDTF">2004-04-01T18:52:26Z</dcterms:modified>
  <cp:category/>
  <cp:version/>
  <cp:contentType/>
  <cp:contentStatus/>
</cp:coreProperties>
</file>