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690" windowHeight="6030" firstSheet="2" activeTab="6"/>
  </bookViews>
  <sheets>
    <sheet name="Aggregate Parameters" sheetId="1" r:id="rId1"/>
    <sheet name="Aggregate Plan" sheetId="2" r:id="rId2"/>
    <sheet name="MPS parameters" sheetId="3" r:id="rId3"/>
    <sheet name="Disaggregate plan" sheetId="4" r:id="rId4"/>
    <sheet name="MPS" sheetId="5" r:id="rId5"/>
    <sheet name="MRP Parameters" sheetId="6" r:id="rId6"/>
    <sheet name="MRP" sheetId="7" r:id="rId7"/>
  </sheets>
  <definedNames>
    <definedName name="_xlnm.Print_Area" localSheetId="1">'Aggregate Plan'!$A$1:$M$24</definedName>
    <definedName name="_xlnm.Print_Area" localSheetId="3">'Disaggregate plan'!$A$3:$J$29</definedName>
    <definedName name="_xlnm.Print_Area" localSheetId="4">'MPS'!$A$1:$R$47</definedName>
    <definedName name="_xlnm.Print_Area" localSheetId="6">'MRP'!$A$1:$Q$79</definedName>
    <definedName name="solver_adj" localSheetId="1" hidden="1">'Aggregate Plan'!$C$8:$D$11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'Aggregate Plan'!$F$18:$F$21</definedName>
    <definedName name="solver_lhs2" localSheetId="1" hidden="1">'Aggregate Plan'!$C$8:$D$11</definedName>
    <definedName name="solver_lhs3" localSheetId="1" hidden="1">'Aggregate Plan'!$I$11</definedName>
    <definedName name="solver_lin" localSheetId="1" hidden="1">2</definedName>
    <definedName name="solver_neg" localSheetId="1" hidden="1">2</definedName>
    <definedName name="solver_num" localSheetId="1" hidden="1">3</definedName>
    <definedName name="solver_nwt" localSheetId="1" hidden="1">1</definedName>
    <definedName name="solver_opt" localSheetId="1" hidden="1">'Aggregate Plan'!$H$23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0</definedName>
    <definedName name="solver_rhs3" localSheetId="1" hidden="1">'Aggregate Plan'!$I$7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<sst xmlns="http://schemas.openxmlformats.org/spreadsheetml/2006/main" count="307" uniqueCount="171">
  <si>
    <t>Quarter</t>
  </si>
  <si>
    <t>Total</t>
  </si>
  <si>
    <t>Production Units</t>
  </si>
  <si>
    <t>Inventory</t>
  </si>
  <si>
    <t>Demand</t>
  </si>
  <si>
    <t>RT</t>
  </si>
  <si>
    <t>OT</t>
  </si>
  <si>
    <t>I</t>
  </si>
  <si>
    <t>II</t>
  </si>
  <si>
    <t>III</t>
  </si>
  <si>
    <t>IV</t>
  </si>
  <si>
    <t>Sales</t>
  </si>
  <si>
    <t>Revenue</t>
  </si>
  <si>
    <t>cost</t>
  </si>
  <si>
    <t>Profit</t>
  </si>
  <si>
    <t>Labor cost</t>
  </si>
  <si>
    <t>max</t>
  </si>
  <si>
    <t>Average material cost  per product unit</t>
  </si>
  <si>
    <t>Regular time cost per labor unit</t>
  </si>
  <si>
    <t>Overtime cost per labor unit</t>
  </si>
  <si>
    <t>Average selling price of product unit</t>
  </si>
  <si>
    <t>Rules</t>
  </si>
  <si>
    <t>The maximum regular time scheduled will be assumed to be your RT capacity</t>
  </si>
  <si>
    <t>Overtime cannot exceed 50% of regular time in any given quarter</t>
  </si>
  <si>
    <t>You must plan to meet the forecasted aggregate demand</t>
  </si>
  <si>
    <t>**</t>
  </si>
  <si>
    <t>Initial inventory acquisition cost per product unit</t>
  </si>
  <si>
    <t>Labot units</t>
  </si>
  <si>
    <t>holding cost</t>
  </si>
  <si>
    <t>then push the evaluate button</t>
  </si>
  <si>
    <t>Your ending inventory should at least equal your initial inventory</t>
  </si>
  <si>
    <t>Average labor units per product unit</t>
  </si>
  <si>
    <t>Forecasted aggregate demand</t>
  </si>
  <si>
    <t>credit</t>
  </si>
  <si>
    <t>Stockout</t>
  </si>
  <si>
    <t>Team Name:</t>
  </si>
  <si>
    <t>Welcome to the Manufacturing Game:Planning Stage</t>
  </si>
  <si>
    <t>Step 1</t>
  </si>
  <si>
    <t xml:space="preserve">Average Inventory holding cost </t>
  </si>
  <si>
    <t>per product unit per quarter</t>
  </si>
  <si>
    <t>Model Information</t>
  </si>
  <si>
    <t>labor</t>
  </si>
  <si>
    <t>A</t>
  </si>
  <si>
    <t>B</t>
  </si>
  <si>
    <t>C</t>
  </si>
  <si>
    <t>Inventory/unit/per.</t>
  </si>
  <si>
    <t>Initial Acquisition</t>
  </si>
  <si>
    <t>Costs</t>
  </si>
  <si>
    <t>Production Information</t>
  </si>
  <si>
    <t>Number of models</t>
  </si>
  <si>
    <t>Change over cost</t>
  </si>
  <si>
    <t>Mix</t>
  </si>
  <si>
    <t>in quarter 1</t>
  </si>
  <si>
    <t>in quarter 2</t>
  </si>
  <si>
    <t>average/period</t>
  </si>
  <si>
    <t>Demand Information</t>
  </si>
  <si>
    <t>per period</t>
  </si>
  <si>
    <t xml:space="preserve">labor </t>
  </si>
  <si>
    <t>units</t>
  </si>
  <si>
    <t>Selling</t>
  </si>
  <si>
    <t>Price</t>
  </si>
  <si>
    <t>Step 2</t>
  </si>
  <si>
    <t>The Master Production Schedule</t>
  </si>
  <si>
    <t>per quarter</t>
  </si>
  <si>
    <t>Number of periods</t>
  </si>
  <si>
    <t>Initial inventory cannot exceed 150 units</t>
  </si>
  <si>
    <t>Forecasted</t>
  </si>
  <si>
    <t>Material</t>
  </si>
  <si>
    <t>Input a MPS in the highlighted cells</t>
  </si>
  <si>
    <t>Product</t>
  </si>
  <si>
    <t>period</t>
  </si>
  <si>
    <t>Quarter 1</t>
  </si>
  <si>
    <t>per period =</t>
  </si>
  <si>
    <t>available RT labor units</t>
  </si>
  <si>
    <t>total</t>
  </si>
  <si>
    <t>Production</t>
  </si>
  <si>
    <t>(based on average demand)</t>
  </si>
  <si>
    <t>Initial inventory cost</t>
  </si>
  <si>
    <t>Inventory holding cost</t>
  </si>
  <si>
    <t>**  Please count the number of setups</t>
  </si>
  <si>
    <t>Set up cost</t>
  </si>
  <si>
    <t>Cost</t>
  </si>
  <si>
    <t>Number of **</t>
  </si>
  <si>
    <t xml:space="preserve">setups </t>
  </si>
  <si>
    <t>Inventory Balance</t>
  </si>
  <si>
    <t>Quarter 2</t>
  </si>
  <si>
    <t>Inventory credit at the end of quarter 1</t>
  </si>
  <si>
    <t>Q1 sales</t>
  </si>
  <si>
    <t>Q2 sales</t>
  </si>
  <si>
    <t>** determined from aggregate plan</t>
  </si>
  <si>
    <t>in quarter 3</t>
  </si>
  <si>
    <t>in quarter 4</t>
  </si>
  <si>
    <t>Regular time</t>
  </si>
  <si>
    <t>labor units/ period**</t>
  </si>
  <si>
    <t xml:space="preserve">  Rules</t>
  </si>
  <si>
    <t xml:space="preserve">  ** RT is leveled for each period</t>
  </si>
  <si>
    <t xml:space="preserve">  ** Overtime can be allocated in any period</t>
  </si>
  <si>
    <t xml:space="preserve">  ** Overtime cannot exceed 50% of RT in any period</t>
  </si>
  <si>
    <t xml:space="preserve">  ** You may choose any mix of initial inventory</t>
  </si>
  <si>
    <t xml:space="preserve">  ** Initial inventory cannot exceed 150 units</t>
  </si>
  <si>
    <t xml:space="preserve">  ** You must plan to meet average demand</t>
  </si>
  <si>
    <t>The Disaggregate Plan</t>
  </si>
  <si>
    <t>Model</t>
  </si>
  <si>
    <t>quarter 1</t>
  </si>
  <si>
    <t>quarter 2</t>
  </si>
  <si>
    <t>quarter 3</t>
  </si>
  <si>
    <t>quarter 4</t>
  </si>
  <si>
    <t>This plan should be used as a guideline in the master production scheduling</t>
  </si>
  <si>
    <t>demand</t>
  </si>
  <si>
    <t>** as defined in the aggregate plan</t>
  </si>
  <si>
    <t>determines the aggregate production per model based on the forecasted demand mix</t>
  </si>
  <si>
    <t>Total  **</t>
  </si>
  <si>
    <t>Production units</t>
  </si>
  <si>
    <t>Labor units</t>
  </si>
  <si>
    <t>used</t>
  </si>
  <si>
    <t>per quarter **=</t>
  </si>
  <si>
    <t>Coef. of Var.</t>
  </si>
  <si>
    <t>Step 3</t>
  </si>
  <si>
    <t>The Material Requirement Plan</t>
  </si>
  <si>
    <t xml:space="preserve">BOM </t>
  </si>
  <si>
    <t>blue</t>
  </si>
  <si>
    <t>green</t>
  </si>
  <si>
    <t>pink</t>
  </si>
  <si>
    <t>yellow</t>
  </si>
  <si>
    <t>Part Information</t>
  </si>
  <si>
    <t>Regular Purchase</t>
  </si>
  <si>
    <t>Lead time in periods</t>
  </si>
  <si>
    <t>Inventory/unit/period</t>
  </si>
  <si>
    <t>Cost/order/part</t>
  </si>
  <si>
    <t>Total number of parts</t>
  </si>
  <si>
    <t xml:space="preserve">  ** You may choose any lot sizing policy for each part</t>
  </si>
  <si>
    <t xml:space="preserve">  ** The order receipts must be sufficient to meet MPS</t>
  </si>
  <si>
    <t xml:space="preserve">  ** You need to specify your initial part inventory</t>
  </si>
  <si>
    <t xml:space="preserve">  ** Initial inventory cannot exceed 150 units for any part</t>
  </si>
  <si>
    <t>Blue</t>
  </si>
  <si>
    <t>Period</t>
  </si>
  <si>
    <t>Net Requirement</t>
  </si>
  <si>
    <t>Inventory cost per unit per period</t>
  </si>
  <si>
    <t>unit cost</t>
  </si>
  <si>
    <t>Order period</t>
  </si>
  <si>
    <t>(1 if true)</t>
  </si>
  <si>
    <t>LT =</t>
  </si>
  <si>
    <t>Gross  Requirement</t>
  </si>
  <si>
    <t>Order Release</t>
  </si>
  <si>
    <t>** scheduled receipts in period 1 appear in initial inventory</t>
  </si>
  <si>
    <t>Green</t>
  </si>
  <si>
    <t>Pink</t>
  </si>
  <si>
    <t>** scheduled receipts in period 1  and 2 appear in initial inventory</t>
  </si>
  <si>
    <t>Yellow</t>
  </si>
  <si>
    <t>The Aggregate Plan</t>
  </si>
  <si>
    <t>Total net worth</t>
  </si>
  <si>
    <t>Input an aggregate production plan</t>
  </si>
  <si>
    <t>in the highlighted cells</t>
  </si>
  <si>
    <t>For quarter 1 and quarter 2</t>
  </si>
  <si>
    <t xml:space="preserve">Initial </t>
  </si>
  <si>
    <t>Order Receipt</t>
  </si>
  <si>
    <t>Cost of parts order and inventory</t>
  </si>
  <si>
    <t>scheduled releases for all parts and push evaluate button</t>
  </si>
  <si>
    <t>Input parts initial inventory, scheduled receipts &amp;</t>
  </si>
  <si>
    <t>Aggregate Plan Parameters</t>
  </si>
  <si>
    <t>copyright</t>
  </si>
  <si>
    <t xml:space="preserve">      Ammar Wright Associates 1999 </t>
  </si>
  <si>
    <t>The aggregate plan is feasible</t>
  </si>
  <si>
    <t>RT labor units/quarter =</t>
  </si>
  <si>
    <t>Year end net value =</t>
  </si>
  <si>
    <t xml:space="preserve"> The MPS is feasible</t>
  </si>
  <si>
    <t>Net worth after quarter 1</t>
  </si>
  <si>
    <t>Net worth after quarter 2</t>
  </si>
  <si>
    <t>AMA 410</t>
  </si>
  <si>
    <t>MRP IS CORRECT</t>
  </si>
  <si>
    <t>Revised net worth after quarter 2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</si>
</sst>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0.0"/>
    <numFmt numFmtId="170" formatCode="&quot;$&quot;#,##0.0_);\(&quot;$&quot;#,##0.0\)"/>
    <numFmt numFmtId="171" formatCode="0_);[Red]\(0\)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8"/>
      <color indexed="17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1"/>
      <name val="System"/>
      <family val="2"/>
    </font>
    <font>
      <sz val="10"/>
      <color indexed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8" xfId="0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8" xfId="0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6" fontId="0" fillId="2" borderId="1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7" fontId="0" fillId="2" borderId="10" xfId="17" applyNumberForma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167" fontId="0" fillId="2" borderId="1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8" fontId="0" fillId="2" borderId="2" xfId="0" applyNumberFormat="1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7" fontId="0" fillId="2" borderId="1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7" fontId="0" fillId="2" borderId="5" xfId="0" applyNumberFormat="1" applyFont="1" applyFill="1" applyBorder="1" applyAlignment="1">
      <alignment horizontal="center"/>
    </xf>
    <xf numFmtId="167" fontId="0" fillId="2" borderId="7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9" fontId="0" fillId="2" borderId="9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 horizontal="center"/>
    </xf>
    <xf numFmtId="6" fontId="0" fillId="2" borderId="0" xfId="0" applyNumberFormat="1" applyFill="1" applyAlignment="1">
      <alignment horizontal="center"/>
    </xf>
    <xf numFmtId="6" fontId="0" fillId="2" borderId="5" xfId="0" applyNumberForma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2" xfId="0" applyFont="1" applyFill="1" applyBorder="1" applyAlignment="1">
      <alignment horizontal="right"/>
    </xf>
    <xf numFmtId="0" fontId="13" fillId="2" borderId="9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right"/>
    </xf>
    <xf numFmtId="0" fontId="13" fillId="2" borderId="4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9" fontId="0" fillId="2" borderId="9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8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0" fontId="0" fillId="2" borderId="14" xfId="0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168" fontId="0" fillId="2" borderId="7" xfId="0" applyNumberFormat="1" applyFont="1" applyFill="1" applyBorder="1" applyAlignment="1">
      <alignment horizontal="center"/>
    </xf>
    <xf numFmtId="0" fontId="0" fillId="2" borderId="15" xfId="17" applyNumberFormat="1" applyFont="1" applyFill="1" applyBorder="1" applyAlignment="1">
      <alignment horizontal="center"/>
    </xf>
    <xf numFmtId="0" fontId="0" fillId="2" borderId="16" xfId="17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167" fontId="0" fillId="2" borderId="16" xfId="0" applyNumberFormat="1" applyFont="1" applyFill="1" applyBorder="1" applyAlignment="1">
      <alignment horizontal="center"/>
    </xf>
    <xf numFmtId="0" fontId="0" fillId="2" borderId="15" xfId="0" applyFill="1" applyBorder="1" applyAlignment="1">
      <alignment/>
    </xf>
    <xf numFmtId="44" fontId="0" fillId="2" borderId="14" xfId="17" applyFill="1" applyBorder="1" applyAlignment="1">
      <alignment horizontal="center"/>
    </xf>
    <xf numFmtId="0" fontId="0" fillId="7" borderId="1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44" fontId="0" fillId="2" borderId="15" xfId="17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1" fontId="0" fillId="2" borderId="9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8" borderId="1" xfId="0" applyFill="1" applyBorder="1" applyAlignment="1">
      <alignment/>
    </xf>
    <xf numFmtId="166" fontId="0" fillId="2" borderId="15" xfId="17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6" borderId="1" xfId="0" applyFill="1" applyBorder="1" applyAlignment="1">
      <alignment/>
    </xf>
    <xf numFmtId="5" fontId="0" fillId="2" borderId="0" xfId="17" applyNumberFormat="1" applyFill="1" applyAlignment="1">
      <alignment horizontal="center"/>
    </xf>
    <xf numFmtId="0" fontId="15" fillId="2" borderId="0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15" fillId="2" borderId="23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2" borderId="8" xfId="0" applyFont="1" applyFill="1" applyBorder="1" applyAlignment="1">
      <alignment horizontal="center"/>
    </xf>
    <xf numFmtId="0" fontId="15" fillId="2" borderId="26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6" fillId="9" borderId="11" xfId="0" applyFont="1" applyFill="1" applyBorder="1" applyAlignment="1" applyProtection="1">
      <alignment horizontal="center"/>
      <protection locked="0"/>
    </xf>
    <xf numFmtId="0" fontId="15" fillId="2" borderId="23" xfId="0" applyFont="1" applyFill="1" applyBorder="1" applyAlignment="1">
      <alignment horizontal="center"/>
    </xf>
    <xf numFmtId="0" fontId="16" fillId="9" borderId="16" xfId="0" applyFont="1" applyFill="1" applyBorder="1" applyAlignment="1" applyProtection="1">
      <alignment horizontal="center"/>
      <protection locked="0"/>
    </xf>
    <xf numFmtId="0" fontId="15" fillId="2" borderId="29" xfId="0" applyFont="1" applyFill="1" applyBorder="1" applyAlignment="1">
      <alignment/>
    </xf>
    <xf numFmtId="0" fontId="15" fillId="2" borderId="30" xfId="0" applyFont="1" applyFill="1" applyBorder="1" applyAlignment="1">
      <alignment/>
    </xf>
    <xf numFmtId="0" fontId="15" fillId="2" borderId="31" xfId="0" applyFont="1" applyFill="1" applyBorder="1" applyAlignment="1">
      <alignment horizontal="center"/>
    </xf>
    <xf numFmtId="5" fontId="15" fillId="2" borderId="29" xfId="17" applyNumberFormat="1" applyFont="1" applyFill="1" applyBorder="1" applyAlignment="1">
      <alignment horizontal="right"/>
    </xf>
    <xf numFmtId="6" fontId="15" fillId="2" borderId="30" xfId="0" applyNumberFormat="1" applyFont="1" applyFill="1" applyBorder="1" applyAlignment="1">
      <alignment/>
    </xf>
    <xf numFmtId="0" fontId="15" fillId="2" borderId="30" xfId="0" applyFont="1" applyFill="1" applyBorder="1" applyAlignment="1">
      <alignment horizontal="center"/>
    </xf>
    <xf numFmtId="0" fontId="16" fillId="9" borderId="10" xfId="0" applyFont="1" applyFill="1" applyBorder="1" applyAlignment="1" applyProtection="1">
      <alignment horizontal="center"/>
      <protection locked="0"/>
    </xf>
    <xf numFmtId="0" fontId="16" fillId="9" borderId="7" xfId="0" applyFont="1" applyFill="1" applyBorder="1" applyAlignment="1" applyProtection="1">
      <alignment horizontal="center"/>
      <protection locked="0"/>
    </xf>
    <xf numFmtId="0" fontId="15" fillId="2" borderId="32" xfId="0" applyFont="1" applyFill="1" applyBorder="1" applyAlignment="1">
      <alignment/>
    </xf>
    <xf numFmtId="0" fontId="15" fillId="2" borderId="33" xfId="0" applyFont="1" applyFill="1" applyBorder="1" applyAlignment="1">
      <alignment/>
    </xf>
    <xf numFmtId="0" fontId="15" fillId="2" borderId="33" xfId="0" applyFont="1" applyFill="1" applyBorder="1" applyAlignment="1">
      <alignment horizontal="center"/>
    </xf>
    <xf numFmtId="5" fontId="15" fillId="2" borderId="34" xfId="17" applyNumberFormat="1" applyFont="1" applyFill="1" applyBorder="1" applyAlignment="1">
      <alignment horizontal="right"/>
    </xf>
    <xf numFmtId="6" fontId="15" fillId="2" borderId="33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166" fontId="15" fillId="2" borderId="25" xfId="17" applyNumberFormat="1" applyFont="1" applyFill="1" applyBorder="1" applyAlignment="1">
      <alignment/>
    </xf>
    <xf numFmtId="5" fontId="15" fillId="2" borderId="25" xfId="0" applyNumberFormat="1" applyFont="1" applyFill="1" applyBorder="1" applyAlignment="1">
      <alignment/>
    </xf>
    <xf numFmtId="166" fontId="15" fillId="2" borderId="30" xfId="17" applyNumberFormat="1" applyFont="1" applyFill="1" applyBorder="1" applyAlignment="1">
      <alignment/>
    </xf>
    <xf numFmtId="5" fontId="15" fillId="2" borderId="30" xfId="0" applyNumberFormat="1" applyFont="1" applyFill="1" applyBorder="1" applyAlignment="1">
      <alignment/>
    </xf>
    <xf numFmtId="166" fontId="15" fillId="2" borderId="33" xfId="17" applyNumberFormat="1" applyFont="1" applyFill="1" applyBorder="1" applyAlignment="1">
      <alignment/>
    </xf>
    <xf numFmtId="5" fontId="15" fillId="2" borderId="33" xfId="0" applyNumberFormat="1" applyFont="1" applyFill="1" applyBorder="1" applyAlignment="1">
      <alignment/>
    </xf>
    <xf numFmtId="166" fontId="15" fillId="2" borderId="0" xfId="0" applyNumberFormat="1" applyFont="1" applyFill="1" applyBorder="1" applyAlignment="1">
      <alignment/>
    </xf>
    <xf numFmtId="167" fontId="15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0" xfId="0" applyFill="1" applyBorder="1" applyAlignment="1">
      <alignment/>
    </xf>
    <xf numFmtId="5" fontId="6" fillId="2" borderId="0" xfId="0" applyNumberFormat="1" applyFont="1" applyFill="1" applyAlignment="1">
      <alignment/>
    </xf>
    <xf numFmtId="171" fontId="13" fillId="2" borderId="8" xfId="0" applyNumberFormat="1" applyFont="1" applyFill="1" applyBorder="1" applyAlignment="1">
      <alignment horizontal="center"/>
    </xf>
    <xf numFmtId="0" fontId="6" fillId="9" borderId="35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15" fillId="9" borderId="36" xfId="0" applyFont="1" applyFill="1" applyBorder="1" applyAlignment="1" applyProtection="1">
      <alignment/>
      <protection locked="0"/>
    </xf>
    <xf numFmtId="0" fontId="15" fillId="9" borderId="37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6" fillId="9" borderId="17" xfId="0" applyFont="1" applyFill="1" applyBorder="1" applyAlignment="1" applyProtection="1">
      <alignment/>
      <protection locked="0"/>
    </xf>
    <xf numFmtId="0" fontId="16" fillId="9" borderId="8" xfId="0" applyFont="1" applyFill="1" applyBorder="1" applyAlignment="1" applyProtection="1">
      <alignment horizontal="center"/>
      <protection locked="0"/>
    </xf>
    <xf numFmtId="0" fontId="16" fillId="9" borderId="25" xfId="0" applyFont="1" applyFill="1" applyBorder="1" applyAlignment="1" applyProtection="1">
      <alignment horizontal="center"/>
      <protection locked="0"/>
    </xf>
    <xf numFmtId="0" fontId="16" fillId="9" borderId="17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38" xfId="0" applyFont="1" applyFill="1" applyBorder="1" applyAlignment="1" applyProtection="1">
      <alignment horizontal="center"/>
      <protection locked="0"/>
    </xf>
    <xf numFmtId="0" fontId="2" fillId="9" borderId="22" xfId="0" applyFont="1" applyFill="1" applyBorder="1" applyAlignment="1" applyProtection="1">
      <alignment horizontal="center"/>
      <protection locked="0"/>
    </xf>
    <xf numFmtId="0" fontId="2" fillId="9" borderId="39" xfId="0" applyFont="1" applyFill="1" applyBorder="1" applyAlignment="1" applyProtection="1">
      <alignment horizontal="center"/>
      <protection locked="0"/>
    </xf>
    <xf numFmtId="0" fontId="2" fillId="9" borderId="17" xfId="0" applyFont="1" applyFill="1" applyBorder="1" applyAlignment="1" applyProtection="1">
      <alignment horizontal="center"/>
      <protection locked="0"/>
    </xf>
    <xf numFmtId="0" fontId="2" fillId="9" borderId="18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/>
      <protection locked="0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9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4</xdr:row>
      <xdr:rowOff>104775</xdr:rowOff>
    </xdr:from>
    <xdr:to>
      <xdr:col>10</xdr:col>
      <xdr:colOff>600075</xdr:colOff>
      <xdr:row>10</xdr:row>
      <xdr:rowOff>85725</xdr:rowOff>
    </xdr:to>
    <xdr:grpSp>
      <xdr:nvGrpSpPr>
        <xdr:cNvPr id="1" name="Group 12"/>
        <xdr:cNvGrpSpPr>
          <a:grpSpLocks/>
        </xdr:cNvGrpSpPr>
      </xdr:nvGrpSpPr>
      <xdr:grpSpPr>
        <a:xfrm>
          <a:off x="4972050" y="1447800"/>
          <a:ext cx="1666875" cy="981075"/>
          <a:chOff x="541" y="137"/>
          <a:chExt cx="191" cy="103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588" y="147"/>
            <a:ext cx="132" cy="81"/>
            <a:chOff x="500" y="219"/>
            <a:chExt cx="132" cy="81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500" y="219"/>
              <a:ext cx="77" cy="28"/>
            </a:xfrm>
            <a:prstGeom prst="rect">
              <a:avLst/>
            </a:prstGeom>
            <a:solidFill>
              <a:srgbClr val="6060D2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555" y="238"/>
              <a:ext cx="77" cy="27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Oval 11"/>
          <xdr:cNvSpPr>
            <a:spLocks/>
          </xdr:cNvSpPr>
        </xdr:nvSpPr>
        <xdr:spPr>
          <a:xfrm>
            <a:off x="541" y="137"/>
            <a:ext cx="191" cy="1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847725</xdr:colOff>
      <xdr:row>15</xdr:row>
      <xdr:rowOff>161925</xdr:rowOff>
    </xdr:from>
    <xdr:to>
      <xdr:col>11</xdr:col>
      <xdr:colOff>257175</xdr:colOff>
      <xdr:row>24</xdr:row>
      <xdr:rowOff>57150</xdr:rowOff>
    </xdr:to>
    <xdr:sp>
      <xdr:nvSpPr>
        <xdr:cNvPr id="11" name="Oval 13"/>
        <xdr:cNvSpPr>
          <a:spLocks/>
        </xdr:cNvSpPr>
      </xdr:nvSpPr>
      <xdr:spPr>
        <a:xfrm>
          <a:off x="2428875" y="3333750"/>
          <a:ext cx="4476750" cy="1362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</xdr:row>
      <xdr:rowOff>19050</xdr:rowOff>
    </xdr:from>
    <xdr:to>
      <xdr:col>8</xdr:col>
      <xdr:colOff>447675</xdr:colOff>
      <xdr:row>11</xdr:row>
      <xdr:rowOff>85725</xdr:rowOff>
    </xdr:to>
    <xdr:grpSp>
      <xdr:nvGrpSpPr>
        <xdr:cNvPr id="1" name="Group 34"/>
        <xdr:cNvGrpSpPr>
          <a:grpSpLocks/>
        </xdr:cNvGrpSpPr>
      </xdr:nvGrpSpPr>
      <xdr:grpSpPr>
        <a:xfrm>
          <a:off x="3409950" y="209550"/>
          <a:ext cx="3771900" cy="1762125"/>
          <a:chOff x="358" y="22"/>
          <a:chExt cx="396" cy="185"/>
        </a:xfrm>
        <a:solidFill>
          <a:srgbClr val="FFFFFF"/>
        </a:solidFill>
      </xdr:grpSpPr>
      <xdr:grpSp>
        <xdr:nvGrpSpPr>
          <xdr:cNvPr id="2" name="Group 33"/>
          <xdr:cNvGrpSpPr>
            <a:grpSpLocks/>
          </xdr:cNvGrpSpPr>
        </xdr:nvGrpSpPr>
        <xdr:grpSpPr>
          <a:xfrm>
            <a:off x="386" y="50"/>
            <a:ext cx="337" cy="146"/>
            <a:chOff x="386" y="50"/>
            <a:chExt cx="337" cy="146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389" y="90"/>
              <a:ext cx="53" cy="35"/>
            </a:xfrm>
            <a:prstGeom prst="rect">
              <a:avLst/>
            </a:prstGeom>
            <a:solidFill>
              <a:srgbClr val="41F152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4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11" y="96"/>
              <a:ext cx="10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AutoShape 4"/>
            <xdr:cNvSpPr>
              <a:spLocks/>
            </xdr:cNvSpPr>
          </xdr:nvSpPr>
          <xdr:spPr>
            <a:xfrm>
              <a:off x="427" y="112"/>
              <a:ext cx="53" cy="35"/>
            </a:xfrm>
            <a:prstGeom prst="rect">
              <a:avLst/>
            </a:prstGeom>
            <a:solidFill>
              <a:srgbClr val="6060D2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9"/>
            <xdr:cNvSpPr>
              <a:spLocks/>
            </xdr:cNvSpPr>
          </xdr:nvSpPr>
          <xdr:spPr>
            <a:xfrm>
              <a:off x="544" y="118"/>
              <a:ext cx="53" cy="35"/>
            </a:xfrm>
            <a:prstGeom prst="rect">
              <a:avLst/>
            </a:prstGeom>
            <a:solidFill>
              <a:srgbClr val="41F152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3"/>
            <xdr:cNvSpPr>
              <a:spLocks/>
            </xdr:cNvSpPr>
          </xdr:nvSpPr>
          <xdr:spPr>
            <a:xfrm>
              <a:off x="632" y="96"/>
              <a:ext cx="53" cy="33"/>
            </a:xfrm>
            <a:prstGeom prst="rect">
              <a:avLst/>
            </a:prstGeom>
            <a:solidFill>
              <a:srgbClr val="6060D2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5"/>
            <xdr:cNvSpPr>
              <a:spLocks/>
            </xdr:cNvSpPr>
          </xdr:nvSpPr>
          <xdr:spPr>
            <a:xfrm>
              <a:off x="670" y="118"/>
              <a:ext cx="53" cy="35"/>
            </a:xfrm>
            <a:prstGeom prst="rect">
              <a:avLst/>
            </a:prstGeom>
            <a:solidFill>
              <a:srgbClr val="FDF335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9"/>
            <xdr:cNvSpPr>
              <a:spLocks/>
            </xdr:cNvSpPr>
          </xdr:nvSpPr>
          <xdr:spPr>
            <a:xfrm>
              <a:off x="514" y="90"/>
              <a:ext cx="53" cy="35"/>
            </a:xfrm>
            <a:prstGeom prst="rect">
              <a:avLst/>
            </a:prstGeom>
            <a:solidFill>
              <a:srgbClr val="F6493C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" name="Oval 27"/>
          <xdr:cNvSpPr>
            <a:spLocks/>
          </xdr:cNvSpPr>
        </xdr:nvSpPr>
        <xdr:spPr>
          <a:xfrm>
            <a:off x="358" y="22"/>
            <a:ext cx="396" cy="18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85725</xdr:rowOff>
    </xdr:from>
    <xdr:to>
      <xdr:col>10</xdr:col>
      <xdr:colOff>323850</xdr:colOff>
      <xdr:row>14</xdr:row>
      <xdr:rowOff>114300</xdr:rowOff>
    </xdr:to>
    <xdr:grpSp>
      <xdr:nvGrpSpPr>
        <xdr:cNvPr id="1" name="Group 24"/>
        <xdr:cNvGrpSpPr>
          <a:grpSpLocks/>
        </xdr:cNvGrpSpPr>
      </xdr:nvGrpSpPr>
      <xdr:grpSpPr>
        <a:xfrm>
          <a:off x="3724275" y="828675"/>
          <a:ext cx="3314700" cy="1695450"/>
          <a:chOff x="386" y="102"/>
          <a:chExt cx="348" cy="178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414" y="146"/>
            <a:ext cx="308" cy="114"/>
            <a:chOff x="389" y="90"/>
            <a:chExt cx="334" cy="129"/>
          </a:xfrm>
          <a:solidFill>
            <a:srgbClr val="FFFFFF"/>
          </a:solidFill>
        </xdr:grpSpPr>
        <xdr:sp>
          <xdr:nvSpPr>
            <xdr:cNvPr id="3" name="AutoShape 15"/>
            <xdr:cNvSpPr>
              <a:spLocks/>
            </xdr:cNvSpPr>
          </xdr:nvSpPr>
          <xdr:spPr>
            <a:xfrm>
              <a:off x="603" y="184"/>
              <a:ext cx="53" cy="35"/>
            </a:xfrm>
            <a:prstGeom prst="rect">
              <a:avLst/>
            </a:prstGeom>
            <a:solidFill>
              <a:srgbClr val="FF00FF"/>
            </a:solidFill>
            <a:ln w="9525" cmpd="sng">
              <a:solidFill>
                <a:srgbClr val="402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21"/>
            <xdr:cNvGrpSpPr>
              <a:grpSpLocks/>
            </xdr:cNvGrpSpPr>
          </xdr:nvGrpSpPr>
          <xdr:grpSpPr>
            <a:xfrm>
              <a:off x="389" y="90"/>
              <a:ext cx="334" cy="88"/>
              <a:chOff x="389" y="90"/>
              <a:chExt cx="334" cy="88"/>
            </a:xfrm>
            <a:solidFill>
              <a:srgbClr val="FFFFFF"/>
            </a:solidFill>
          </xdr:grpSpPr>
          <xdr:sp>
            <xdr:nvSpPr>
              <xdr:cNvPr id="6" name="AutoShape 1"/>
              <xdr:cNvSpPr>
                <a:spLocks/>
              </xdr:cNvSpPr>
            </xdr:nvSpPr>
            <xdr:spPr>
              <a:xfrm>
                <a:off x="453" y="143"/>
                <a:ext cx="53" cy="35"/>
              </a:xfrm>
              <a:prstGeom prst="rect">
                <a:avLst/>
              </a:prstGeom>
              <a:solidFill>
                <a:srgbClr val="41F152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pic>
            <xdr:nvPicPr>
              <xdr:cNvPr id="7" name="Picture 2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475" y="149"/>
                <a:ext cx="10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8" name="AutoShape 3"/>
              <xdr:cNvSpPr>
                <a:spLocks/>
              </xdr:cNvSpPr>
            </xdr:nvSpPr>
            <xdr:spPr>
              <a:xfrm>
                <a:off x="389" y="90"/>
                <a:ext cx="53" cy="35"/>
              </a:xfrm>
              <a:prstGeom prst="rect">
                <a:avLst/>
              </a:prstGeom>
              <a:solidFill>
                <a:srgbClr val="41F152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pic>
            <xdr:nvPicPr>
              <xdr:cNvPr id="9" name="Picture 4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411" y="96"/>
                <a:ext cx="10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0" name="AutoShape 5"/>
              <xdr:cNvSpPr>
                <a:spLocks/>
              </xdr:cNvSpPr>
            </xdr:nvSpPr>
            <xdr:spPr>
              <a:xfrm>
                <a:off x="405" y="106"/>
                <a:ext cx="53" cy="35"/>
              </a:xfrm>
              <a:prstGeom prst="rect">
                <a:avLst/>
              </a:prstGeom>
              <a:solidFill>
                <a:srgbClr val="41F152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pic>
            <xdr:nvPicPr>
              <xdr:cNvPr id="11" name="Picture 6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427" y="112"/>
                <a:ext cx="10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2" name="AutoShape 7"/>
              <xdr:cNvSpPr>
                <a:spLocks/>
              </xdr:cNvSpPr>
            </xdr:nvSpPr>
            <xdr:spPr>
              <a:xfrm>
                <a:off x="421" y="122"/>
                <a:ext cx="53" cy="35"/>
              </a:xfrm>
              <a:prstGeom prst="rect">
                <a:avLst/>
              </a:prstGeom>
              <a:solidFill>
                <a:srgbClr val="41F152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pic>
            <xdr:nvPicPr>
              <xdr:cNvPr id="13" name="Picture 8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443" y="128"/>
                <a:ext cx="10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4" name="AutoShape 9"/>
              <xdr:cNvSpPr>
                <a:spLocks/>
              </xdr:cNvSpPr>
            </xdr:nvSpPr>
            <xdr:spPr>
              <a:xfrm>
                <a:off x="555" y="112"/>
                <a:ext cx="53" cy="35"/>
              </a:xfrm>
              <a:prstGeom prst="rect">
                <a:avLst/>
              </a:prstGeom>
              <a:solidFill>
                <a:srgbClr val="6060D2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11"/>
              <xdr:cNvSpPr>
                <a:spLocks/>
              </xdr:cNvSpPr>
            </xdr:nvSpPr>
            <xdr:spPr>
              <a:xfrm>
                <a:off x="521" y="94"/>
                <a:ext cx="53" cy="35"/>
              </a:xfrm>
              <a:prstGeom prst="rect">
                <a:avLst/>
              </a:prstGeom>
              <a:solidFill>
                <a:srgbClr val="6060D2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AutoShape 13"/>
              <xdr:cNvSpPr>
                <a:spLocks/>
              </xdr:cNvSpPr>
            </xdr:nvSpPr>
            <xdr:spPr>
              <a:xfrm>
                <a:off x="549" y="138"/>
                <a:ext cx="53" cy="35"/>
              </a:xfrm>
              <a:prstGeom prst="rect">
                <a:avLst/>
              </a:prstGeom>
              <a:solidFill>
                <a:srgbClr val="6060D2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AutoShape 17"/>
              <xdr:cNvSpPr>
                <a:spLocks/>
              </xdr:cNvSpPr>
            </xdr:nvSpPr>
            <xdr:spPr>
              <a:xfrm>
                <a:off x="670" y="135"/>
                <a:ext cx="53" cy="35"/>
              </a:xfrm>
              <a:prstGeom prst="rect">
                <a:avLst/>
              </a:prstGeom>
              <a:solidFill>
                <a:srgbClr val="FDF335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AutoShape 19"/>
              <xdr:cNvSpPr>
                <a:spLocks/>
              </xdr:cNvSpPr>
            </xdr:nvSpPr>
            <xdr:spPr>
              <a:xfrm>
                <a:off x="633" y="101"/>
                <a:ext cx="53" cy="35"/>
              </a:xfrm>
              <a:prstGeom prst="rect">
                <a:avLst/>
              </a:prstGeom>
              <a:solidFill>
                <a:srgbClr val="FDF335"/>
              </a:solidFill>
              <a:ln w="9525" cmpd="sng">
                <a:solidFill>
                  <a:srgbClr val="402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4" name="Oval 23"/>
          <xdr:cNvSpPr>
            <a:spLocks/>
          </xdr:cNvSpPr>
        </xdr:nvSpPr>
        <xdr:spPr>
          <a:xfrm>
            <a:off x="386" y="102"/>
            <a:ext cx="348" cy="1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vmlDrawing" Target="../drawings/vmlDrawing3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6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6"/>
  <sheetViews>
    <sheetView showRowColHeaders="0" zoomScale="131" zoomScaleNormal="131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3" width="9.140625" style="1" customWidth="1"/>
    <col min="4" max="4" width="23.57421875" style="1" customWidth="1"/>
    <col min="5" max="5" width="9.00390625" style="1" customWidth="1"/>
    <col min="6" max="6" width="4.7109375" style="1" customWidth="1"/>
    <col min="7" max="7" width="9.140625" style="1" customWidth="1"/>
    <col min="8" max="8" width="2.140625" style="1" customWidth="1"/>
    <col min="9" max="16384" width="9.140625" style="1" customWidth="1"/>
  </cols>
  <sheetData>
    <row r="1" spans="4:10" ht="42.75" customHeight="1">
      <c r="D1" s="17" t="s">
        <v>36</v>
      </c>
      <c r="H1" s="2"/>
      <c r="I1" s="2"/>
      <c r="J1" s="2"/>
    </row>
    <row r="2" spans="2:10" ht="27" customHeight="1" thickBot="1">
      <c r="B2" s="18" t="s">
        <v>159</v>
      </c>
      <c r="I2" s="2"/>
      <c r="J2" s="2"/>
    </row>
    <row r="3" spans="2:8" ht="15">
      <c r="B3" s="4"/>
      <c r="C3" s="5"/>
      <c r="D3" s="5"/>
      <c r="E3" s="6"/>
      <c r="H3" s="25" t="s">
        <v>37</v>
      </c>
    </row>
    <row r="4" spans="2:9" ht="21" thickBot="1">
      <c r="B4" s="7" t="s">
        <v>17</v>
      </c>
      <c r="C4" s="8"/>
      <c r="D4" s="8"/>
      <c r="E4" s="28">
        <v>15</v>
      </c>
      <c r="H4" s="19" t="s">
        <v>149</v>
      </c>
      <c r="I4" s="17"/>
    </row>
    <row r="5" spans="2:5" ht="12.75">
      <c r="B5" s="4"/>
      <c r="C5" s="5"/>
      <c r="D5" s="9"/>
      <c r="E5" s="29"/>
    </row>
    <row r="6" spans="2:5" ht="13.5" thickBot="1">
      <c r="B6" s="7" t="s">
        <v>31</v>
      </c>
      <c r="C6" s="8"/>
      <c r="D6" s="10"/>
      <c r="E6" s="27">
        <v>3</v>
      </c>
    </row>
    <row r="7" spans="2:5" ht="12.75">
      <c r="B7" s="4"/>
      <c r="C7" s="5"/>
      <c r="D7" s="9"/>
      <c r="E7" s="29"/>
    </row>
    <row r="8" spans="2:5" ht="13.5" thickBot="1">
      <c r="B8" s="7" t="s">
        <v>18</v>
      </c>
      <c r="C8" s="8"/>
      <c r="D8" s="10"/>
      <c r="E8" s="28">
        <v>10</v>
      </c>
    </row>
    <row r="9" spans="2:5" ht="12.75">
      <c r="B9" s="4"/>
      <c r="C9" s="5"/>
      <c r="D9" s="9"/>
      <c r="E9" s="29"/>
    </row>
    <row r="10" spans="2:5" ht="13.5" thickBot="1">
      <c r="B10" s="7" t="s">
        <v>19</v>
      </c>
      <c r="C10" s="8"/>
      <c r="D10" s="10"/>
      <c r="E10" s="28">
        <v>15</v>
      </c>
    </row>
    <row r="11" spans="2:5" ht="12.75">
      <c r="B11" s="4"/>
      <c r="C11" s="5"/>
      <c r="D11" s="9"/>
      <c r="E11" s="29"/>
    </row>
    <row r="12" spans="2:5" ht="13.5" thickBot="1">
      <c r="B12" s="7" t="s">
        <v>20</v>
      </c>
      <c r="C12" s="8"/>
      <c r="D12" s="10"/>
      <c r="E12" s="28">
        <v>70</v>
      </c>
    </row>
    <row r="13" spans="2:5" ht="12.75">
      <c r="B13" s="26" t="s">
        <v>38</v>
      </c>
      <c r="C13" s="5"/>
      <c r="D13" s="5"/>
      <c r="E13" s="29"/>
    </row>
    <row r="14" spans="2:5" ht="13.5" thickBot="1">
      <c r="B14" s="7" t="s">
        <v>39</v>
      </c>
      <c r="C14" s="8"/>
      <c r="D14" s="8"/>
      <c r="E14" s="28">
        <v>6</v>
      </c>
    </row>
    <row r="15" spans="2:5" ht="12.75">
      <c r="B15" s="4"/>
      <c r="C15" s="5"/>
      <c r="D15" s="5"/>
      <c r="E15" s="29"/>
    </row>
    <row r="16" spans="2:5" ht="13.5" thickBot="1">
      <c r="B16" s="7" t="s">
        <v>26</v>
      </c>
      <c r="C16" s="8"/>
      <c r="D16" s="8"/>
      <c r="E16" s="30">
        <v>45</v>
      </c>
    </row>
    <row r="18" spans="2:10" ht="12.75">
      <c r="B18" s="11" t="s">
        <v>32</v>
      </c>
      <c r="D18" s="13"/>
      <c r="E18" s="14" t="s">
        <v>21</v>
      </c>
      <c r="F18" s="13"/>
      <c r="G18" s="13"/>
      <c r="H18" s="13"/>
      <c r="I18" s="13"/>
      <c r="J18" s="13"/>
    </row>
    <row r="19" spans="2:10" ht="12.75">
      <c r="B19" s="12" t="s">
        <v>0</v>
      </c>
      <c r="C19" s="12" t="s">
        <v>4</v>
      </c>
      <c r="D19" s="15" t="s">
        <v>25</v>
      </c>
      <c r="E19" s="16" t="s">
        <v>22</v>
      </c>
      <c r="F19" s="13"/>
      <c r="G19" s="13"/>
      <c r="H19" s="13"/>
      <c r="I19" s="13"/>
      <c r="J19" s="13"/>
    </row>
    <row r="20" spans="2:10" ht="12.75">
      <c r="B20" s="23" t="s">
        <v>7</v>
      </c>
      <c r="C20" s="12">
        <v>120</v>
      </c>
      <c r="D20" s="15" t="s">
        <v>25</v>
      </c>
      <c r="E20" s="16" t="s">
        <v>23</v>
      </c>
      <c r="F20" s="13"/>
      <c r="G20" s="13"/>
      <c r="H20" s="13"/>
      <c r="I20" s="13"/>
      <c r="J20" s="13"/>
    </row>
    <row r="21" spans="2:10" ht="12.75">
      <c r="B21" s="23" t="s">
        <v>8</v>
      </c>
      <c r="C21" s="12">
        <v>300</v>
      </c>
      <c r="D21" s="15" t="s">
        <v>25</v>
      </c>
      <c r="E21" s="16" t="s">
        <v>30</v>
      </c>
      <c r="F21" s="13"/>
      <c r="G21" s="13"/>
      <c r="H21" s="13"/>
      <c r="I21" s="13"/>
      <c r="J21" s="13"/>
    </row>
    <row r="22" spans="2:10" ht="12.75">
      <c r="B22" s="23" t="s">
        <v>9</v>
      </c>
      <c r="C22" s="12">
        <v>180</v>
      </c>
      <c r="D22" s="15" t="s">
        <v>25</v>
      </c>
      <c r="E22" s="16" t="s">
        <v>24</v>
      </c>
      <c r="F22" s="13"/>
      <c r="G22" s="13"/>
      <c r="H22" s="13"/>
      <c r="I22" s="13"/>
      <c r="J22" s="13"/>
    </row>
    <row r="23" spans="2:10" ht="12.75">
      <c r="B23" s="23" t="s">
        <v>10</v>
      </c>
      <c r="C23" s="12">
        <v>120</v>
      </c>
      <c r="D23" s="15" t="s">
        <v>25</v>
      </c>
      <c r="E23" s="16" t="s">
        <v>65</v>
      </c>
      <c r="F23" s="13"/>
      <c r="G23" s="13"/>
      <c r="H23" s="13"/>
      <c r="I23" s="13"/>
      <c r="J23" s="13"/>
    </row>
    <row r="24" spans="4:10" ht="12.75">
      <c r="D24" s="13"/>
      <c r="E24" s="13"/>
      <c r="F24" s="13"/>
      <c r="G24" s="13"/>
      <c r="H24" s="13"/>
      <c r="I24" s="13"/>
      <c r="J24" s="13"/>
    </row>
    <row r="25" ht="12.75"/>
    <row r="26" spans="2:6" ht="12.75">
      <c r="B26" s="215" t="s">
        <v>160</v>
      </c>
      <c r="C26" s="212" t="s">
        <v>161</v>
      </c>
      <c r="D26" s="213"/>
      <c r="E26" s="214"/>
      <c r="F26" s="214"/>
    </row>
  </sheetData>
  <sheetProtection sheet="1" objects="1" scenarios="1"/>
  <printOptions/>
  <pageMargins left="0.75" right="0.75" top="1" bottom="1" header="0.5" footer="0.5"/>
  <pageSetup horizontalDpi="300" verticalDpi="300" orientation="landscape" r:id="rId9"/>
  <drawing r:id="rId8"/>
  <legacyDrawing r:id="rId7"/>
  <oleObjects>
    <oleObject progId="MS_ClipArt_Gallery" shapeId="312377" r:id="rId1"/>
    <oleObject progId="MS_ClipArt_Gallery" shapeId="312386" r:id="rId2"/>
    <oleObject progId="MS_ClipArt_Gallery" shapeId="312387" r:id="rId3"/>
    <oleObject progId="MS_ClipArt_Gallery" shapeId="312388" r:id="rId4"/>
    <oleObject progId="MS_ClipArt_Gallery" shapeId="312389" r:id="rId5"/>
    <oleObject progId="Word.Document.8" shapeId="180507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24"/>
  <sheetViews>
    <sheetView showGridLines="0" showRowColHeaders="0" zoomScale="118" zoomScaleNormal="118" workbookViewId="0" topLeftCell="A1">
      <selection activeCell="F14" sqref="F14"/>
    </sheetView>
  </sheetViews>
  <sheetFormatPr defaultColWidth="9.140625" defaultRowHeight="12.75"/>
  <cols>
    <col min="1" max="2" width="8.28125" style="144" customWidth="1"/>
    <col min="3" max="3" width="10.8515625" style="144" customWidth="1"/>
    <col min="4" max="4" width="10.421875" style="144" customWidth="1"/>
    <col min="5" max="5" width="5.8515625" style="144" customWidth="1"/>
    <col min="6" max="6" width="9.00390625" style="144" customWidth="1"/>
    <col min="7" max="7" width="10.00390625" style="144" customWidth="1"/>
    <col min="8" max="8" width="9.8515625" style="144" customWidth="1"/>
    <col min="9" max="9" width="9.57421875" style="144" customWidth="1"/>
    <col min="10" max="10" width="12.421875" style="144" customWidth="1"/>
    <col min="11" max="11" width="8.28125" style="144" customWidth="1"/>
    <col min="12" max="13" width="8.7109375" style="20" customWidth="1"/>
    <col min="14" max="14" width="8.140625" style="20" customWidth="1"/>
    <col min="15" max="15" width="8.421875" style="20" customWidth="1"/>
    <col min="16" max="16" width="4.8515625" style="20" customWidth="1"/>
    <col min="17" max="17" width="7.140625" style="20" customWidth="1"/>
    <col min="18" max="18" width="8.00390625" style="20" customWidth="1"/>
    <col min="19" max="20" width="7.00390625" style="20" customWidth="1"/>
    <col min="21" max="16384" width="9.140625" style="20" customWidth="1"/>
  </cols>
  <sheetData>
    <row r="1" spans="1:28" ht="30" customHeight="1" thickBot="1" thickTop="1">
      <c r="A1" s="24" t="s">
        <v>35</v>
      </c>
      <c r="B1" s="24"/>
      <c r="C1" s="193" t="s">
        <v>168</v>
      </c>
      <c r="D1" s="195"/>
      <c r="E1" s="195"/>
      <c r="F1" s="195"/>
      <c r="G1" s="196"/>
      <c r="H1" s="1"/>
      <c r="I1" s="182" t="s">
        <v>151</v>
      </c>
      <c r="J1" s="1"/>
      <c r="AB1" s="197">
        <v>0</v>
      </c>
    </row>
    <row r="2" ht="19.5" customHeight="1" thickTop="1">
      <c r="I2" s="182" t="s">
        <v>152</v>
      </c>
    </row>
    <row r="3" ht="18">
      <c r="I3" s="183" t="s">
        <v>29</v>
      </c>
    </row>
    <row r="5" spans="1:28" ht="24" customHeight="1">
      <c r="A5" s="148" t="s">
        <v>0</v>
      </c>
      <c r="B5" s="148" t="s">
        <v>1</v>
      </c>
      <c r="C5" s="145" t="s">
        <v>2</v>
      </c>
      <c r="D5" s="146"/>
      <c r="E5" s="147"/>
      <c r="F5" s="145" t="s">
        <v>27</v>
      </c>
      <c r="G5" s="146"/>
      <c r="H5" s="147"/>
      <c r="I5" s="146" t="s">
        <v>3</v>
      </c>
      <c r="J5" s="147"/>
      <c r="K5" s="148" t="s">
        <v>67</v>
      </c>
      <c r="AB5" s="197">
        <v>0</v>
      </c>
    </row>
    <row r="6" spans="1:11" ht="15" customHeight="1" thickBot="1">
      <c r="A6" s="166"/>
      <c r="B6" s="166" t="s">
        <v>4</v>
      </c>
      <c r="C6" s="145" t="s">
        <v>5</v>
      </c>
      <c r="D6" s="145" t="s">
        <v>6</v>
      </c>
      <c r="E6" s="145" t="s">
        <v>1</v>
      </c>
      <c r="F6" s="145" t="s">
        <v>5</v>
      </c>
      <c r="G6" s="145" t="s">
        <v>6</v>
      </c>
      <c r="H6" s="145" t="s">
        <v>1</v>
      </c>
      <c r="I6" s="148" t="s">
        <v>58</v>
      </c>
      <c r="J6" s="145" t="s">
        <v>28</v>
      </c>
      <c r="K6" s="166" t="s">
        <v>13</v>
      </c>
    </row>
    <row r="7" spans="1:11" ht="15" customHeight="1" thickBot="1">
      <c r="A7" s="149">
        <v>0</v>
      </c>
      <c r="B7" s="145"/>
      <c r="C7" s="150"/>
      <c r="D7" s="151"/>
      <c r="E7" s="152"/>
      <c r="F7" s="148"/>
      <c r="G7" s="148"/>
      <c r="H7" s="153"/>
      <c r="I7" s="154">
        <v>0</v>
      </c>
      <c r="J7" s="152"/>
      <c r="K7" s="148"/>
    </row>
    <row r="8" spans="1:11" ht="15" customHeight="1" thickBot="1">
      <c r="A8" s="149" t="s">
        <v>7</v>
      </c>
      <c r="B8" s="155">
        <f>'Aggregate Parameters'!C20</f>
        <v>120</v>
      </c>
      <c r="C8" s="154">
        <v>120</v>
      </c>
      <c r="D8" s="156">
        <v>0</v>
      </c>
      <c r="E8" s="157">
        <f>C8+D8</f>
        <v>120</v>
      </c>
      <c r="F8" s="158">
        <f>C8*'Aggregate Parameters'!$E$6</f>
        <v>360</v>
      </c>
      <c r="G8" s="158">
        <f>D8*'Aggregate Parameters'!$E$6</f>
        <v>0</v>
      </c>
      <c r="H8" s="158">
        <f>F8+G8</f>
        <v>360</v>
      </c>
      <c r="I8" s="159">
        <f>MAX(0,I7+C8+D8-B8)</f>
        <v>0</v>
      </c>
      <c r="J8" s="160">
        <f>I8*'Aggregate Parameters'!$E$14</f>
        <v>0</v>
      </c>
      <c r="K8" s="161">
        <f>E8*'Aggregate Parameters'!$E$4</f>
        <v>1800</v>
      </c>
    </row>
    <row r="9" spans="1:11" ht="15" customHeight="1" thickBot="1">
      <c r="A9" s="149" t="s">
        <v>8</v>
      </c>
      <c r="B9" s="155">
        <f>'Aggregate Parameters'!C21</f>
        <v>300</v>
      </c>
      <c r="C9" s="154">
        <v>300</v>
      </c>
      <c r="D9" s="156">
        <v>0</v>
      </c>
      <c r="E9" s="157">
        <f>C9+D9</f>
        <v>300</v>
      </c>
      <c r="F9" s="158">
        <f>C9*'Aggregate Parameters'!$E$6</f>
        <v>900</v>
      </c>
      <c r="G9" s="158">
        <f>D9*'Aggregate Parameters'!$E$6</f>
        <v>0</v>
      </c>
      <c r="H9" s="158">
        <f>F9+G9</f>
        <v>900</v>
      </c>
      <c r="I9" s="162">
        <f>MAX(0,I8+C9+D9-B9)</f>
        <v>0</v>
      </c>
      <c r="J9" s="160">
        <f>I9*'Aggregate Parameters'!$E$14</f>
        <v>0</v>
      </c>
      <c r="K9" s="161">
        <f>E9*'Aggregate Parameters'!$E$4</f>
        <v>4500</v>
      </c>
    </row>
    <row r="10" spans="1:11" ht="15" customHeight="1" thickBot="1">
      <c r="A10" s="149" t="s">
        <v>9</v>
      </c>
      <c r="B10" s="155">
        <f>'Aggregate Parameters'!C22</f>
        <v>180</v>
      </c>
      <c r="C10" s="154">
        <v>180</v>
      </c>
      <c r="D10" s="156">
        <v>0</v>
      </c>
      <c r="E10" s="157">
        <f>C10+D10</f>
        <v>180</v>
      </c>
      <c r="F10" s="158">
        <f>C10*'Aggregate Parameters'!$E$6</f>
        <v>540</v>
      </c>
      <c r="G10" s="158">
        <f>D10*'Aggregate Parameters'!$E$6</f>
        <v>0</v>
      </c>
      <c r="H10" s="158">
        <f>F10+G10</f>
        <v>540</v>
      </c>
      <c r="I10" s="162">
        <f>MAX(0,I9+C10+D10-B10)</f>
        <v>0</v>
      </c>
      <c r="J10" s="160">
        <f>I10*'Aggregate Parameters'!$E$14</f>
        <v>0</v>
      </c>
      <c r="K10" s="161">
        <f>E10*'Aggregate Parameters'!$E$4</f>
        <v>2700</v>
      </c>
    </row>
    <row r="11" spans="1:11" ht="15" customHeight="1" thickBot="1">
      <c r="A11" s="149" t="s">
        <v>10</v>
      </c>
      <c r="B11" s="155">
        <f>'Aggregate Parameters'!C23</f>
        <v>120</v>
      </c>
      <c r="C11" s="163">
        <v>120</v>
      </c>
      <c r="D11" s="164">
        <v>0</v>
      </c>
      <c r="E11" s="165">
        <f>C11+D11</f>
        <v>120</v>
      </c>
      <c r="F11" s="166">
        <f>C11*'Aggregate Parameters'!$E$6</f>
        <v>360</v>
      </c>
      <c r="G11" s="166">
        <f>D11*'Aggregate Parameters'!$E$6</f>
        <v>0</v>
      </c>
      <c r="H11" s="166">
        <f>F11+G11</f>
        <v>360</v>
      </c>
      <c r="I11" s="167">
        <f>MAX(0,I10+C11+D11-B11)</f>
        <v>0</v>
      </c>
      <c r="J11" s="168">
        <f>I11*'Aggregate Parameters'!$E$14</f>
        <v>0</v>
      </c>
      <c r="K11" s="169">
        <f>E11*'Aggregate Parameters'!$E$4</f>
        <v>1800</v>
      </c>
    </row>
    <row r="13" spans="5:9" ht="14.25" hidden="1">
      <c r="E13" s="144" t="s">
        <v>16</v>
      </c>
      <c r="F13" s="144">
        <f>MAX(F8:F11)</f>
        <v>900</v>
      </c>
      <c r="I13" s="170"/>
    </row>
    <row r="14" ht="40.5" customHeight="1">
      <c r="A14" s="194" t="s">
        <v>162</v>
      </c>
    </row>
    <row r="15" spans="1:9" ht="14.25">
      <c r="A15" s="145" t="s">
        <v>15</v>
      </c>
      <c r="B15" s="146"/>
      <c r="C15" s="147"/>
      <c r="D15" s="146" t="s">
        <v>0</v>
      </c>
      <c r="E15" s="171"/>
      <c r="F15" s="171"/>
      <c r="G15" s="171"/>
      <c r="H15" s="147"/>
      <c r="I15" s="148" t="s">
        <v>3</v>
      </c>
    </row>
    <row r="16" spans="1:13" ht="18">
      <c r="A16" s="145" t="s">
        <v>5</v>
      </c>
      <c r="B16" s="145" t="s">
        <v>6</v>
      </c>
      <c r="C16" s="145" t="s">
        <v>1</v>
      </c>
      <c r="D16" s="145" t="s">
        <v>13</v>
      </c>
      <c r="E16" s="145" t="s">
        <v>11</v>
      </c>
      <c r="F16" s="145" t="s">
        <v>34</v>
      </c>
      <c r="G16" s="145" t="s">
        <v>12</v>
      </c>
      <c r="H16" s="145" t="s">
        <v>14</v>
      </c>
      <c r="I16" s="166" t="s">
        <v>33</v>
      </c>
      <c r="J16" s="194" t="s">
        <v>163</v>
      </c>
      <c r="K16" s="24"/>
      <c r="L16" s="24"/>
      <c r="M16" s="24">
        <f>IF(J16&lt;&gt;"",F13,"")</f>
        <v>900</v>
      </c>
    </row>
    <row r="17" spans="1:13" ht="18">
      <c r="A17" s="148"/>
      <c r="B17" s="148"/>
      <c r="C17" s="148"/>
      <c r="D17" s="172"/>
      <c r="E17" s="148"/>
      <c r="F17" s="148"/>
      <c r="G17" s="148"/>
      <c r="H17" s="172"/>
      <c r="I17" s="173">
        <f>-I7*'Aggregate Parameters'!E16</f>
        <v>0</v>
      </c>
      <c r="J17" s="194"/>
      <c r="K17" s="24"/>
      <c r="L17" s="24"/>
      <c r="M17" s="24"/>
    </row>
    <row r="18" spans="1:13" ht="18">
      <c r="A18" s="161">
        <f>$F$13*'Aggregate Parameters'!$E$8</f>
        <v>9000</v>
      </c>
      <c r="B18" s="161">
        <f>G8*'Aggregate Parameters'!$E$10</f>
        <v>0</v>
      </c>
      <c r="C18" s="174">
        <f>A18+B18</f>
        <v>9000</v>
      </c>
      <c r="D18" s="174">
        <f>C18+J8+K8</f>
        <v>10800</v>
      </c>
      <c r="E18" s="158">
        <f>MIN(B8,E8+I7)</f>
        <v>120</v>
      </c>
      <c r="F18" s="158">
        <f>B8-E18</f>
        <v>0</v>
      </c>
      <c r="G18" s="161">
        <f>E18*'Aggregate Parameters'!$E$12</f>
        <v>8400</v>
      </c>
      <c r="H18" s="174">
        <f>G18-D18</f>
        <v>-2400</v>
      </c>
      <c r="I18" s="175"/>
      <c r="J18" s="194" t="s">
        <v>164</v>
      </c>
      <c r="K18" s="24"/>
      <c r="L18" s="24"/>
      <c r="M18" s="24">
        <f>IF(J18&lt;&gt;"",H23,"")</f>
        <v>3600</v>
      </c>
    </row>
    <row r="19" spans="1:9" ht="14.25">
      <c r="A19" s="161">
        <f>$F$13*'Aggregate Parameters'!$E$8</f>
        <v>9000</v>
      </c>
      <c r="B19" s="161">
        <f>G9*'Aggregate Parameters'!$E$10</f>
        <v>0</v>
      </c>
      <c r="C19" s="174">
        <f>A19+B19</f>
        <v>9000</v>
      </c>
      <c r="D19" s="174">
        <f>C19+J9+K9</f>
        <v>13500</v>
      </c>
      <c r="E19" s="158">
        <f>MIN(B9,E9+I8)</f>
        <v>300</v>
      </c>
      <c r="F19" s="158">
        <f>B9-E19</f>
        <v>0</v>
      </c>
      <c r="G19" s="161">
        <f>E19*'Aggregate Parameters'!$E$12</f>
        <v>21000</v>
      </c>
      <c r="H19" s="174">
        <f>G19-D19</f>
        <v>7500</v>
      </c>
      <c r="I19" s="175"/>
    </row>
    <row r="20" spans="1:9" ht="14.25">
      <c r="A20" s="161">
        <f>$F$13*'Aggregate Parameters'!$E$8</f>
        <v>9000</v>
      </c>
      <c r="B20" s="161">
        <f>G10*'Aggregate Parameters'!$E$10</f>
        <v>0</v>
      </c>
      <c r="C20" s="174">
        <f>A20+B20</f>
        <v>9000</v>
      </c>
      <c r="D20" s="174">
        <f>C20+J10+K10</f>
        <v>11700</v>
      </c>
      <c r="E20" s="158">
        <f>MIN(B10,E10+I9)</f>
        <v>180</v>
      </c>
      <c r="F20" s="158">
        <f>B10-E20</f>
        <v>0</v>
      </c>
      <c r="G20" s="161">
        <f>E20*'Aggregate Parameters'!$E$12</f>
        <v>12600</v>
      </c>
      <c r="H20" s="174">
        <f>G20-D20</f>
        <v>900</v>
      </c>
      <c r="I20" s="175"/>
    </row>
    <row r="21" spans="1:9" ht="14.25">
      <c r="A21" s="169">
        <f>$F$13*'Aggregate Parameters'!$E$8</f>
        <v>9000</v>
      </c>
      <c r="B21" s="169">
        <f>G11*'Aggregate Parameters'!$E$10</f>
        <v>0</v>
      </c>
      <c r="C21" s="176">
        <f>A21+B21</f>
        <v>9000</v>
      </c>
      <c r="D21" s="176">
        <f>C21+J11+K11</f>
        <v>10800</v>
      </c>
      <c r="E21" s="166">
        <f>MIN(B11,E11+I10)</f>
        <v>120</v>
      </c>
      <c r="F21" s="166">
        <f>B11-E21</f>
        <v>0</v>
      </c>
      <c r="G21" s="169">
        <f>E21*'Aggregate Parameters'!$E$12</f>
        <v>8400</v>
      </c>
      <c r="H21" s="176">
        <f>G21-D21</f>
        <v>-2400</v>
      </c>
      <c r="I21" s="177">
        <f>I11*'Aggregate Parameters'!E16</f>
        <v>0</v>
      </c>
    </row>
    <row r="23" spans="7:10" ht="14.25" hidden="1">
      <c r="G23" s="144" t="s">
        <v>150</v>
      </c>
      <c r="H23" s="178">
        <f>SUM(H17:H21)+I17+I21</f>
        <v>3600</v>
      </c>
      <c r="J23" s="179"/>
    </row>
    <row r="24" spans="1:9" ht="14.25">
      <c r="A24" s="180"/>
      <c r="B24" s="180"/>
      <c r="C24" s="180"/>
      <c r="D24" s="180"/>
      <c r="E24" s="180"/>
      <c r="F24" s="181"/>
      <c r="G24" s="180"/>
      <c r="H24" s="180"/>
      <c r="I24" s="180"/>
    </row>
  </sheetData>
  <sheetProtection sheet="1" objects="1" scenarios="1"/>
  <dataValidations count="2">
    <dataValidation type="whole" allowBlank="1" showInputMessage="1" showErrorMessage="1" sqref="I7">
      <formula1>0</formula1>
      <formula2>150</formula2>
    </dataValidation>
    <dataValidation type="whole" allowBlank="1" showInputMessage="1" showErrorMessage="1" sqref="C8:D11">
      <formula1>0</formula1>
      <formula2>500</formula2>
    </dataValidation>
  </dataValidations>
  <printOptions/>
  <pageMargins left="0.6" right="0.55" top="1" bottom="1" header="0.5" footer="0.5"/>
  <pageSetup fitToHeight="1" fitToWidth="1" horizontalDpi="300" verticalDpi="3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showRowColHeaders="0" zoomScale="130" zoomScaleNormal="130" workbookViewId="0" topLeftCell="A1">
      <selection activeCell="A1" sqref="A1"/>
    </sheetView>
  </sheetViews>
  <sheetFormatPr defaultColWidth="9.140625" defaultRowHeight="12.75"/>
  <cols>
    <col min="1" max="1" width="17.28125" style="1" customWidth="1"/>
    <col min="2" max="2" width="6.8515625" style="1" customWidth="1"/>
    <col min="3" max="3" width="15.7109375" style="1" customWidth="1"/>
    <col min="4" max="4" width="14.7109375" style="1" customWidth="1"/>
    <col min="5" max="5" width="12.57421875" style="1" customWidth="1"/>
    <col min="6" max="6" width="13.140625" style="1" customWidth="1"/>
    <col min="7" max="7" width="11.57421875" style="1" customWidth="1"/>
    <col min="8" max="16384" width="9.140625" style="1" customWidth="1"/>
  </cols>
  <sheetData>
    <row r="1" ht="15">
      <c r="B1" s="25" t="s">
        <v>61</v>
      </c>
    </row>
    <row r="2" ht="18">
      <c r="B2" s="19" t="s">
        <v>62</v>
      </c>
    </row>
    <row r="3" ht="13.5" thickBot="1">
      <c r="A3" s="32" t="s">
        <v>48</v>
      </c>
    </row>
    <row r="4" spans="1:2" ht="12.75">
      <c r="A4" s="40" t="s">
        <v>49</v>
      </c>
      <c r="B4" s="29">
        <v>3</v>
      </c>
    </row>
    <row r="5" spans="1:2" ht="12.75">
      <c r="A5" s="41"/>
      <c r="B5" s="44"/>
    </row>
    <row r="6" spans="1:2" ht="12.75">
      <c r="A6" s="42" t="s">
        <v>50</v>
      </c>
      <c r="B6" s="45">
        <v>50</v>
      </c>
    </row>
    <row r="7" spans="1:2" ht="12.75">
      <c r="A7" s="42"/>
      <c r="B7" s="38"/>
    </row>
    <row r="8" spans="1:3" ht="12.75">
      <c r="A8" s="42" t="s">
        <v>64</v>
      </c>
      <c r="B8" s="38"/>
      <c r="C8" s="14" t="s">
        <v>94</v>
      </c>
    </row>
    <row r="9" spans="1:3" ht="12.75">
      <c r="A9" s="42" t="s">
        <v>63</v>
      </c>
      <c r="B9" s="38">
        <v>6</v>
      </c>
      <c r="C9" s="16" t="s">
        <v>95</v>
      </c>
    </row>
    <row r="10" spans="1:3" ht="12.75">
      <c r="A10" s="42"/>
      <c r="B10" s="38"/>
      <c r="C10" s="16" t="s">
        <v>96</v>
      </c>
    </row>
    <row r="11" spans="1:3" ht="12.75">
      <c r="A11" s="42" t="s">
        <v>92</v>
      </c>
      <c r="B11" s="38"/>
      <c r="C11" s="16" t="s">
        <v>97</v>
      </c>
    </row>
    <row r="12" spans="1:3" ht="13.5" thickBot="1">
      <c r="A12" s="43" t="s">
        <v>93</v>
      </c>
      <c r="B12" s="27">
        <f>INT('Aggregate Plan'!F13/6)</f>
        <v>150</v>
      </c>
      <c r="C12" s="16" t="s">
        <v>98</v>
      </c>
    </row>
    <row r="13" spans="1:3" ht="12.75">
      <c r="A13" s="95" t="s">
        <v>89</v>
      </c>
      <c r="B13" s="34"/>
      <c r="C13" s="16" t="s">
        <v>99</v>
      </c>
    </row>
    <row r="14" ht="12.75">
      <c r="C14" s="16" t="s">
        <v>100</v>
      </c>
    </row>
    <row r="15" ht="13.5" thickBot="1"/>
    <row r="16" spans="1:6" ht="13.5" thickBot="1">
      <c r="A16" s="31"/>
      <c r="B16" s="37" t="s">
        <v>57</v>
      </c>
      <c r="C16" s="67" t="s">
        <v>47</v>
      </c>
      <c r="D16" s="68"/>
      <c r="E16" s="69"/>
      <c r="F16" s="37" t="s">
        <v>59</v>
      </c>
    </row>
    <row r="17" spans="1:6" ht="13.5" thickBot="1">
      <c r="A17" s="32" t="s">
        <v>40</v>
      </c>
      <c r="B17" s="39" t="s">
        <v>58</v>
      </c>
      <c r="C17" s="35" t="s">
        <v>45</v>
      </c>
      <c r="D17" s="36" t="s">
        <v>46</v>
      </c>
      <c r="E17" s="70" t="s">
        <v>67</v>
      </c>
      <c r="F17" s="39" t="s">
        <v>60</v>
      </c>
    </row>
    <row r="18" spans="1:6" ht="12.75">
      <c r="A18" s="37" t="s">
        <v>42</v>
      </c>
      <c r="B18" s="46">
        <v>2</v>
      </c>
      <c r="C18" s="47">
        <v>0.8</v>
      </c>
      <c r="D18" s="48">
        <v>30</v>
      </c>
      <c r="E18" s="71">
        <v>10</v>
      </c>
      <c r="F18" s="49">
        <v>55</v>
      </c>
    </row>
    <row r="19" spans="1:6" ht="12.75">
      <c r="A19" s="38" t="s">
        <v>43</v>
      </c>
      <c r="B19" s="50">
        <v>4</v>
      </c>
      <c r="C19" s="51">
        <v>1.2</v>
      </c>
      <c r="D19" s="52">
        <v>60</v>
      </c>
      <c r="E19" s="71">
        <v>20</v>
      </c>
      <c r="F19" s="53">
        <v>85</v>
      </c>
    </row>
    <row r="20" spans="1:6" ht="13.5" thickBot="1">
      <c r="A20" s="39" t="s">
        <v>44</v>
      </c>
      <c r="B20" s="54">
        <v>3</v>
      </c>
      <c r="C20" s="55">
        <v>1</v>
      </c>
      <c r="D20" s="56">
        <v>45</v>
      </c>
      <c r="E20" s="72">
        <v>15</v>
      </c>
      <c r="F20" s="57">
        <v>70</v>
      </c>
    </row>
    <row r="21" spans="1:7" ht="12.75">
      <c r="A21" s="31"/>
      <c r="F21" s="13"/>
      <c r="G21" s="14"/>
    </row>
    <row r="22" spans="6:7" ht="13.5" thickBot="1">
      <c r="F22" s="15"/>
      <c r="G22" s="16"/>
    </row>
    <row r="23" spans="1:7" ht="12.75">
      <c r="A23" s="33" t="s">
        <v>66</v>
      </c>
      <c r="B23" s="96"/>
      <c r="C23" s="29" t="s">
        <v>54</v>
      </c>
      <c r="D23" s="29" t="s">
        <v>54</v>
      </c>
      <c r="E23" s="29" t="s">
        <v>54</v>
      </c>
      <c r="F23" s="59" t="s">
        <v>54</v>
      </c>
      <c r="G23" s="29" t="s">
        <v>116</v>
      </c>
    </row>
    <row r="24" spans="1:7" ht="13.5" thickBot="1">
      <c r="A24" s="33" t="s">
        <v>55</v>
      </c>
      <c r="B24" s="98" t="s">
        <v>51</v>
      </c>
      <c r="C24" s="27" t="s">
        <v>52</v>
      </c>
      <c r="D24" s="27" t="s">
        <v>53</v>
      </c>
      <c r="E24" s="27" t="s">
        <v>90</v>
      </c>
      <c r="F24" s="65" t="s">
        <v>91</v>
      </c>
      <c r="G24" s="27" t="s">
        <v>56</v>
      </c>
    </row>
    <row r="25" spans="1:7" ht="12.75">
      <c r="A25" s="29" t="s">
        <v>42</v>
      </c>
      <c r="B25" s="58">
        <v>0.2</v>
      </c>
      <c r="C25" s="59">
        <f>(B25*'Aggregate Plan'!$B$8)/6</f>
        <v>4</v>
      </c>
      <c r="D25" s="59">
        <f>(B25*'Aggregate Plan'!$B$9)/6</f>
        <v>10</v>
      </c>
      <c r="E25" s="59">
        <f>(B25*'Aggregate Plan'!$B$10)/6</f>
        <v>6</v>
      </c>
      <c r="F25" s="59">
        <f>(B25*'Aggregate Plan'!$B$11)/6</f>
        <v>4</v>
      </c>
      <c r="G25" s="60">
        <v>0.4</v>
      </c>
    </row>
    <row r="26" spans="1:7" ht="12.75">
      <c r="A26" s="44" t="s">
        <v>43</v>
      </c>
      <c r="B26" s="61">
        <v>0.2</v>
      </c>
      <c r="C26" s="62">
        <f>(B26*'Aggregate Plan'!$B$8)/6</f>
        <v>4</v>
      </c>
      <c r="D26" s="62">
        <f>(B26*'Aggregate Plan'!$B$9)/6</f>
        <v>10</v>
      </c>
      <c r="E26" s="62">
        <f>(B26*'Aggregate Plan'!$B$10)/6</f>
        <v>6</v>
      </c>
      <c r="F26" s="62">
        <f>(B26*'Aggregate Plan'!$B$11)/6</f>
        <v>4</v>
      </c>
      <c r="G26" s="63">
        <v>0.4</v>
      </c>
    </row>
    <row r="27" spans="1:7" ht="13.5" thickBot="1">
      <c r="A27" s="27" t="s">
        <v>44</v>
      </c>
      <c r="B27" s="64">
        <v>0.6</v>
      </c>
      <c r="C27" s="65">
        <f>(B27*'Aggregate Plan'!$B$8)/6</f>
        <v>12</v>
      </c>
      <c r="D27" s="65">
        <f>(B27*'Aggregate Plan'!$B$9)/6</f>
        <v>30</v>
      </c>
      <c r="E27" s="65">
        <f>(B27*'Aggregate Plan'!$B$10)/6</f>
        <v>18</v>
      </c>
      <c r="F27" s="65">
        <f>(B27*'Aggregate Plan'!$B$11)/6</f>
        <v>12</v>
      </c>
      <c r="G27" s="66">
        <v>0.25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7"/>
  <drawing r:id="rId16"/>
  <legacyDrawing r:id="rId15"/>
  <oleObjects>
    <oleObject progId="MS_ClipArt_Gallery" shapeId="835051" r:id="rId1"/>
    <oleObject progId="MS_ClipArt_Gallery" shapeId="835064" r:id="rId2"/>
    <oleObject progId="MS_ClipArt_Gallery" shapeId="835065" r:id="rId3"/>
    <oleObject progId="MS_ClipArt_Gallery" shapeId="835066" r:id="rId4"/>
    <oleObject progId="MS_ClipArt_Gallery" shapeId="835067" r:id="rId5"/>
    <oleObject progId="MS_ClipArt_Gallery" shapeId="835069" r:id="rId6"/>
    <oleObject progId="MS_ClipArt_Gallery" shapeId="835070" r:id="rId7"/>
    <oleObject progId="MS_ClipArt_Gallery" shapeId="835071" r:id="rId8"/>
    <oleObject progId="MS_ClipArt_Gallery" shapeId="835073" r:id="rId9"/>
    <oleObject progId="MS_ClipArt_Gallery" shapeId="835074" r:id="rId10"/>
    <oleObject progId="MS_ClipArt_Gallery" shapeId="835075" r:id="rId11"/>
    <oleObject progId="MS_ClipArt_Gallery" shapeId="835077" r:id="rId12"/>
    <oleObject progId="MS_ClipArt_Gallery" shapeId="835078" r:id="rId13"/>
    <oleObject progId="MS_ClipArt_Gallery" shapeId="835079" r:id="rId1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3:I28"/>
  <sheetViews>
    <sheetView showRowColHeaders="0" zoomScale="132" zoomScaleNormal="132" workbookViewId="0" topLeftCell="A3">
      <selection activeCell="A1" sqref="A1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1.421875" style="1" customWidth="1"/>
    <col min="4" max="4" width="14.00390625" style="1" customWidth="1"/>
    <col min="5" max="5" width="9.140625" style="1" customWidth="1"/>
    <col min="6" max="7" width="9.28125" style="1" bestFit="1" customWidth="1"/>
    <col min="8" max="8" width="10.00390625" style="1" bestFit="1" customWidth="1"/>
    <col min="9" max="16384" width="9.140625" style="1" customWidth="1"/>
  </cols>
  <sheetData>
    <row r="1" ht="12.75" hidden="1"/>
    <row r="2" ht="12.75" hidden="1"/>
    <row r="3" spans="1:8" ht="30" customHeight="1" thickBot="1">
      <c r="A3" s="24" t="s">
        <v>35</v>
      </c>
      <c r="B3" s="20"/>
      <c r="C3" s="184" t="str">
        <f>'Aggregate Plan'!C1</f>
        <v>AMA 410</v>
      </c>
      <c r="D3" s="185"/>
      <c r="E3" s="185"/>
      <c r="F3" s="185"/>
      <c r="G3" s="186"/>
      <c r="H3" s="24"/>
    </row>
    <row r="8" ht="18">
      <c r="E8" s="105" t="s">
        <v>101</v>
      </c>
    </row>
    <row r="9" ht="12.75">
      <c r="C9" s="34" t="s">
        <v>110</v>
      </c>
    </row>
    <row r="11" spans="2:3" ht="15.75" thickBot="1">
      <c r="B11" s="73" t="s">
        <v>73</v>
      </c>
      <c r="C11" s="20"/>
    </row>
    <row r="12" spans="2:4" ht="15.75" thickBot="1">
      <c r="B12" s="18" t="s">
        <v>115</v>
      </c>
      <c r="D12" s="70">
        <f>IF('Aggregate Plan'!M16&lt;&gt;"",'Aggregate Plan'!M16,0)</f>
        <v>900</v>
      </c>
    </row>
    <row r="15" spans="8:9" ht="13.5" thickBot="1">
      <c r="H15" s="15"/>
      <c r="I15" s="16"/>
    </row>
    <row r="16" spans="3:9" ht="13.5" thickBot="1">
      <c r="C16" s="99"/>
      <c r="D16" s="96" t="s">
        <v>108</v>
      </c>
      <c r="E16" s="102" t="s">
        <v>112</v>
      </c>
      <c r="F16" s="100"/>
      <c r="G16" s="100"/>
      <c r="H16" s="101"/>
      <c r="I16" s="6" t="s">
        <v>154</v>
      </c>
    </row>
    <row r="17" spans="3:9" ht="13.5" thickBot="1">
      <c r="C17" s="99" t="s">
        <v>102</v>
      </c>
      <c r="D17" s="97" t="s">
        <v>51</v>
      </c>
      <c r="E17" s="44" t="s">
        <v>103</v>
      </c>
      <c r="F17" s="44" t="s">
        <v>104</v>
      </c>
      <c r="G17" s="44" t="s">
        <v>105</v>
      </c>
      <c r="H17" s="44" t="s">
        <v>106</v>
      </c>
      <c r="I17" s="187" t="s">
        <v>3</v>
      </c>
    </row>
    <row r="18" spans="3:9" ht="12.75">
      <c r="C18" s="96" t="s">
        <v>42</v>
      </c>
      <c r="D18" s="58">
        <f>'MPS parameters'!B25</f>
        <v>0.2</v>
      </c>
      <c r="E18" s="96">
        <f>D18*$E$21</f>
        <v>24</v>
      </c>
      <c r="F18" s="59">
        <f>D18*$F$21</f>
        <v>60</v>
      </c>
      <c r="G18" s="59">
        <f>D18*$G$21</f>
        <v>36</v>
      </c>
      <c r="H18" s="60">
        <f>D18*$H$21</f>
        <v>24</v>
      </c>
      <c r="I18" s="29">
        <f>D18*$I$21</f>
        <v>0</v>
      </c>
    </row>
    <row r="19" spans="3:9" ht="12.75">
      <c r="C19" s="97" t="s">
        <v>43</v>
      </c>
      <c r="D19" s="103">
        <f>'MPS parameters'!B26</f>
        <v>0.2</v>
      </c>
      <c r="E19" s="97">
        <f>D19*$E$21</f>
        <v>24</v>
      </c>
      <c r="F19" s="62">
        <f>D19*$F$21</f>
        <v>60</v>
      </c>
      <c r="G19" s="62">
        <f>D19*$G$21</f>
        <v>36</v>
      </c>
      <c r="H19" s="63">
        <f>D19*$H$21</f>
        <v>24</v>
      </c>
      <c r="I19" s="44">
        <f>D19*$I$21</f>
        <v>0</v>
      </c>
    </row>
    <row r="20" spans="3:9" ht="13.5" thickBot="1">
      <c r="C20" s="98" t="s">
        <v>44</v>
      </c>
      <c r="D20" s="104">
        <f>'MPS parameters'!B27</f>
        <v>0.6</v>
      </c>
      <c r="E20" s="98">
        <f>D20*$E$21</f>
        <v>72</v>
      </c>
      <c r="F20" s="65">
        <f>D20*$F$21</f>
        <v>180</v>
      </c>
      <c r="G20" s="65">
        <f>D20*$G$21</f>
        <v>108</v>
      </c>
      <c r="H20" s="66">
        <f>D20*$H$21</f>
        <v>72</v>
      </c>
      <c r="I20" s="27">
        <f>D20*$I$21</f>
        <v>0</v>
      </c>
    </row>
    <row r="21" spans="3:9" ht="13.5" thickBot="1">
      <c r="C21" s="96" t="s">
        <v>111</v>
      </c>
      <c r="D21" s="29" t="s">
        <v>112</v>
      </c>
      <c r="E21" s="59">
        <f>'Aggregate Plan'!E8</f>
        <v>120</v>
      </c>
      <c r="F21" s="59">
        <f>'Aggregate Plan'!E9</f>
        <v>300</v>
      </c>
      <c r="G21" s="59">
        <f>'Aggregate Plan'!E10</f>
        <v>180</v>
      </c>
      <c r="H21" s="59">
        <f>'Aggregate Plan'!E11</f>
        <v>120</v>
      </c>
      <c r="I21" s="29">
        <f>'Aggregate Plan'!I7</f>
        <v>0</v>
      </c>
    </row>
    <row r="22" spans="3:9" ht="12.75">
      <c r="C22" s="44"/>
      <c r="D22" s="29" t="s">
        <v>113</v>
      </c>
      <c r="E22" s="59">
        <f>'Aggregate Plan'!H8</f>
        <v>360</v>
      </c>
      <c r="F22" s="59">
        <f>'Aggregate Plan'!H9</f>
        <v>900</v>
      </c>
      <c r="G22" s="59">
        <f>'Aggregate Plan'!H10</f>
        <v>540</v>
      </c>
      <c r="H22" s="59">
        <f>'Aggregate Plan'!H11</f>
        <v>360</v>
      </c>
      <c r="I22" s="29"/>
    </row>
    <row r="23" spans="3:9" ht="12.75">
      <c r="C23" s="44"/>
      <c r="D23" s="188" t="s">
        <v>5</v>
      </c>
      <c r="E23" s="62">
        <f>'Aggregate Plan'!F8</f>
        <v>360</v>
      </c>
      <c r="F23" s="62">
        <f>'Aggregate Plan'!F9</f>
        <v>900</v>
      </c>
      <c r="G23" s="62">
        <f>'Aggregate Plan'!F10</f>
        <v>540</v>
      </c>
      <c r="H23" s="62">
        <f>'Aggregate Plan'!F11</f>
        <v>360</v>
      </c>
      <c r="I23" s="44"/>
    </row>
    <row r="24" spans="3:9" ht="13.5" thickBot="1">
      <c r="C24" s="27"/>
      <c r="D24" s="189" t="s">
        <v>6</v>
      </c>
      <c r="E24" s="65">
        <f>'Aggregate Plan'!G8</f>
        <v>0</v>
      </c>
      <c r="F24" s="65">
        <f>'Aggregate Plan'!G9</f>
        <v>0</v>
      </c>
      <c r="G24" s="65">
        <f>'Aggregate Plan'!G10</f>
        <v>0</v>
      </c>
      <c r="H24" s="65">
        <f>'Aggregate Plan'!G11</f>
        <v>0</v>
      </c>
      <c r="I24" s="27"/>
    </row>
    <row r="25" ht="12.75">
      <c r="C25" s="1" t="s">
        <v>109</v>
      </c>
    </row>
    <row r="28" ht="12.75">
      <c r="B28" s="13" t="s">
        <v>107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46"/>
  <sheetViews>
    <sheetView showRowColHeaders="0" zoomScale="126" zoomScaleNormal="126" workbookViewId="0" topLeftCell="A31">
      <selection activeCell="N51" sqref="N51"/>
    </sheetView>
  </sheetViews>
  <sheetFormatPr defaultColWidth="9.140625" defaultRowHeight="12.75"/>
  <cols>
    <col min="1" max="7" width="6.7109375" style="1" customWidth="1"/>
    <col min="8" max="8" width="6.28125" style="1" customWidth="1"/>
    <col min="9" max="9" width="0.9921875" style="1" customWidth="1"/>
    <col min="10" max="10" width="7.421875" style="1" customWidth="1"/>
    <col min="11" max="13" width="5.7109375" style="1" customWidth="1"/>
    <col min="14" max="14" width="7.7109375" style="1" customWidth="1"/>
    <col min="15" max="17" width="5.7109375" style="1" customWidth="1"/>
    <col min="18" max="18" width="6.57421875" style="1" customWidth="1"/>
    <col min="19" max="16384" width="9.140625" style="1" customWidth="1"/>
  </cols>
  <sheetData>
    <row r="1" spans="1:33" ht="30" customHeight="1" thickBot="1">
      <c r="A1" s="24" t="s">
        <v>35</v>
      </c>
      <c r="B1" s="20"/>
      <c r="C1" s="20"/>
      <c r="D1" s="184" t="str">
        <f>'Disaggregate plan'!C3</f>
        <v>AMA 410</v>
      </c>
      <c r="E1" s="185"/>
      <c r="F1" s="185"/>
      <c r="G1" s="185"/>
      <c r="H1" s="185"/>
      <c r="I1" s="185"/>
      <c r="J1" s="186"/>
      <c r="L1" s="199" t="s">
        <v>165</v>
      </c>
      <c r="AC1" s="204">
        <v>0</v>
      </c>
      <c r="AF1" s="1" t="s">
        <v>87</v>
      </c>
      <c r="AG1" s="204">
        <f>SUMPRODUCT('MPS parameters'!C25:C27,'MPS parameters'!F18:F20)*6</f>
        <v>8400</v>
      </c>
    </row>
    <row r="2" spans="1:33" ht="12.75">
      <c r="A2" s="20"/>
      <c r="B2" s="20"/>
      <c r="C2" s="20"/>
      <c r="D2" s="20"/>
      <c r="E2" s="20"/>
      <c r="F2" s="20"/>
      <c r="G2" s="20"/>
      <c r="H2" s="20"/>
      <c r="I2" s="20"/>
      <c r="J2" s="20"/>
      <c r="AF2" s="1" t="s">
        <v>88</v>
      </c>
      <c r="AG2" s="204">
        <f>SUMPRODUCT('MPS parameters'!D25:D27*'MPS parameters'!F18:F20)*6</f>
        <v>21000</v>
      </c>
    </row>
    <row r="3" spans="1:15" ht="18.75" thickBot="1">
      <c r="A3" s="182" t="s">
        <v>68</v>
      </c>
      <c r="B3" s="20"/>
      <c r="C3" s="20"/>
      <c r="D3" s="20"/>
      <c r="E3" s="20"/>
      <c r="F3" s="20"/>
      <c r="G3" s="20"/>
      <c r="M3" s="73" t="s">
        <v>73</v>
      </c>
      <c r="N3" s="20"/>
      <c r="O3" s="20"/>
    </row>
    <row r="4" spans="1:16" ht="18.75" thickBot="1">
      <c r="A4" s="183" t="s">
        <v>153</v>
      </c>
      <c r="M4" s="18" t="s">
        <v>72</v>
      </c>
      <c r="P4" s="70">
        <f>'Disaggregate plan'!D12/6</f>
        <v>150</v>
      </c>
    </row>
    <row r="5" ht="18">
      <c r="A5" s="183" t="s">
        <v>29</v>
      </c>
    </row>
    <row r="6" ht="27" customHeight="1">
      <c r="A6" s="3" t="s">
        <v>71</v>
      </c>
    </row>
    <row r="7" spans="1:10" ht="15">
      <c r="A7" s="18" t="s">
        <v>75</v>
      </c>
      <c r="J7" s="18" t="s">
        <v>84</v>
      </c>
    </row>
    <row r="8" spans="1:18" ht="13.5" thickBot="1">
      <c r="A8" s="74"/>
      <c r="B8" s="74"/>
      <c r="C8" s="74"/>
      <c r="D8" s="74"/>
      <c r="E8" s="74"/>
      <c r="F8" s="74"/>
      <c r="G8" s="74"/>
      <c r="H8" s="74"/>
      <c r="I8" s="74"/>
      <c r="J8" s="74" t="s">
        <v>76</v>
      </c>
      <c r="K8" s="74"/>
      <c r="L8" s="74"/>
      <c r="M8" s="74"/>
      <c r="N8" s="74"/>
      <c r="O8" s="74"/>
      <c r="P8" s="74"/>
      <c r="Q8" s="74"/>
      <c r="R8" s="74"/>
    </row>
    <row r="9" spans="1:18" ht="12.75">
      <c r="A9" s="75"/>
      <c r="B9" s="76" t="s">
        <v>70</v>
      </c>
      <c r="C9" s="76"/>
      <c r="D9" s="76"/>
      <c r="E9" s="76"/>
      <c r="F9" s="76"/>
      <c r="G9" s="76"/>
      <c r="H9" s="77"/>
      <c r="I9" s="74"/>
      <c r="J9" s="75"/>
      <c r="K9" s="78" t="s">
        <v>70</v>
      </c>
      <c r="L9" s="76"/>
      <c r="M9" s="76"/>
      <c r="N9" s="76"/>
      <c r="O9" s="76"/>
      <c r="P9" s="76"/>
      <c r="Q9" s="76"/>
      <c r="R9" s="77"/>
    </row>
    <row r="10" spans="1:18" ht="12.75">
      <c r="A10" s="79" t="s">
        <v>69</v>
      </c>
      <c r="B10" s="80">
        <v>1</v>
      </c>
      <c r="C10" s="80">
        <v>2</v>
      </c>
      <c r="D10" s="80">
        <v>3</v>
      </c>
      <c r="E10" s="80">
        <v>4</v>
      </c>
      <c r="F10" s="80">
        <v>5</v>
      </c>
      <c r="G10" s="80">
        <v>6</v>
      </c>
      <c r="H10" s="81" t="s">
        <v>74</v>
      </c>
      <c r="I10" s="74"/>
      <c r="J10" s="79" t="s">
        <v>69</v>
      </c>
      <c r="K10" s="80">
        <v>0</v>
      </c>
      <c r="L10" s="80">
        <v>1</v>
      </c>
      <c r="M10" s="80">
        <v>2</v>
      </c>
      <c r="N10" s="80">
        <v>3</v>
      </c>
      <c r="O10" s="80">
        <v>4</v>
      </c>
      <c r="P10" s="80">
        <v>5</v>
      </c>
      <c r="Q10" s="80">
        <v>6</v>
      </c>
      <c r="R10" s="81" t="s">
        <v>74</v>
      </c>
    </row>
    <row r="11" spans="1:18" ht="15">
      <c r="A11" s="82" t="s">
        <v>42</v>
      </c>
      <c r="B11" s="201">
        <v>24</v>
      </c>
      <c r="C11" s="201"/>
      <c r="D11" s="201"/>
      <c r="E11" s="201"/>
      <c r="F11" s="201"/>
      <c r="G11" s="201"/>
      <c r="H11" s="81">
        <f>SUM(B11:G11)</f>
        <v>24</v>
      </c>
      <c r="I11" s="74"/>
      <c r="J11" s="82" t="s">
        <v>42</v>
      </c>
      <c r="K11" s="201">
        <v>0</v>
      </c>
      <c r="L11" s="83">
        <f>MAX(K11,0)+B11-'MPS parameters'!$C$25</f>
        <v>20</v>
      </c>
      <c r="M11" s="83">
        <f>MAX(L11,0)+C11-'MPS parameters'!$C$25</f>
        <v>16</v>
      </c>
      <c r="N11" s="83">
        <f>MAX(M11,0)+D11-'MPS parameters'!$C$25</f>
        <v>12</v>
      </c>
      <c r="O11" s="83">
        <f>MAX(N11,0)+E11-'MPS parameters'!$C$25</f>
        <v>8</v>
      </c>
      <c r="P11" s="83">
        <f>MAX(O11,0)+F11-'MPS parameters'!$C$25</f>
        <v>4</v>
      </c>
      <c r="Q11" s="83">
        <f>MAX(P11,0)+G11-'MPS parameters'!$C$25</f>
        <v>0</v>
      </c>
      <c r="R11" s="81">
        <f>MAX(0,L11)+MAX(0,M11)+MAX(0,N11)+MAX(0,O11)+MAX(0,P11)+MAX(0,Q11)</f>
        <v>60</v>
      </c>
    </row>
    <row r="12" spans="1:18" ht="15">
      <c r="A12" s="82" t="s">
        <v>43</v>
      </c>
      <c r="B12" s="201">
        <v>9</v>
      </c>
      <c r="C12" s="201"/>
      <c r="D12" s="201">
        <v>4</v>
      </c>
      <c r="E12" s="201">
        <v>4</v>
      </c>
      <c r="F12" s="201">
        <v>4</v>
      </c>
      <c r="G12" s="201">
        <v>3</v>
      </c>
      <c r="H12" s="81">
        <f>SUM(B12:G12)</f>
        <v>24</v>
      </c>
      <c r="I12" s="74"/>
      <c r="J12" s="82" t="s">
        <v>43</v>
      </c>
      <c r="K12" s="201">
        <v>0</v>
      </c>
      <c r="L12" s="83">
        <f>MAX(0,K12)+B12-'MPS parameters'!$C$26</f>
        <v>5</v>
      </c>
      <c r="M12" s="83">
        <f>MAX(0,L12)+C12-'MPS parameters'!$C$26</f>
        <v>1</v>
      </c>
      <c r="N12" s="83">
        <f>MAX(0,M12)+D12-'MPS parameters'!$C$26</f>
        <v>1</v>
      </c>
      <c r="O12" s="83">
        <f>MAX(0,N12)+E12-'MPS parameters'!$C$26</f>
        <v>1</v>
      </c>
      <c r="P12" s="83">
        <f>MAX(0,O12)+F12-'MPS parameters'!$C$26</f>
        <v>1</v>
      </c>
      <c r="Q12" s="83">
        <f>MAX(0,P12)+G12-'MPS parameters'!$C$26</f>
        <v>0</v>
      </c>
      <c r="R12" s="81">
        <f>MAX(0,L12)+MAX(0,M12)+MAX(0,N12)+MAX(0,O12)+MAX(0,P12)+MAX(0,Q12)</f>
        <v>9</v>
      </c>
    </row>
    <row r="13" spans="1:18" ht="15.75" thickBot="1">
      <c r="A13" s="82" t="s">
        <v>44</v>
      </c>
      <c r="B13" s="202">
        <v>22</v>
      </c>
      <c r="C13" s="202">
        <v>50</v>
      </c>
      <c r="D13" s="202"/>
      <c r="E13" s="202"/>
      <c r="F13" s="202"/>
      <c r="G13" s="202"/>
      <c r="H13" s="81">
        <f>SUM(B13:G13)</f>
        <v>72</v>
      </c>
      <c r="I13" s="74"/>
      <c r="J13" s="84" t="s">
        <v>44</v>
      </c>
      <c r="K13" s="203">
        <v>0</v>
      </c>
      <c r="L13" s="89">
        <f>MAX(0,K13)+B13-'MPS parameters'!$C$27</f>
        <v>10</v>
      </c>
      <c r="M13" s="89">
        <f>MAX(0,L13)+C13-'MPS parameters'!$C$27</f>
        <v>48</v>
      </c>
      <c r="N13" s="89">
        <f>MAX(0,M13)+D13-'MPS parameters'!$C$27</f>
        <v>36</v>
      </c>
      <c r="O13" s="89">
        <f>MAX(0,N13)+E13-'MPS parameters'!$C$27</f>
        <v>24</v>
      </c>
      <c r="P13" s="89">
        <f>MAX(0,O13)+F13-'MPS parameters'!$C$27</f>
        <v>12</v>
      </c>
      <c r="Q13" s="89">
        <f>MAX(0,P13)+G13-'MPS parameters'!$C$27</f>
        <v>0</v>
      </c>
      <c r="R13" s="85">
        <f>MAX(0,L13)+MAX(0,M13)+MAX(0,N13)+MAX(0,O13)+MAX(0,P13)+MAX(0,Q13)</f>
        <v>130</v>
      </c>
    </row>
    <row r="14" spans="1:18" ht="12.75">
      <c r="A14" s="75" t="s">
        <v>113</v>
      </c>
      <c r="B14" s="93"/>
      <c r="C14" s="93"/>
      <c r="D14" s="93"/>
      <c r="E14" s="93"/>
      <c r="F14" s="93"/>
      <c r="G14" s="93"/>
      <c r="H14" s="86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ht="12.75">
      <c r="A15" s="87" t="s">
        <v>114</v>
      </c>
      <c r="B15" s="83">
        <f>SUMPRODUCT('MPS parameters'!$B$18:$B$20,MPS!B11:B13)</f>
        <v>150</v>
      </c>
      <c r="C15" s="83">
        <f>SUMPRODUCT('MPS parameters'!$B$18:$B$20,MPS!C11:C13)</f>
        <v>150</v>
      </c>
      <c r="D15" s="83">
        <f>SUMPRODUCT('MPS parameters'!$B$18:$B$20,MPS!D11:D13)</f>
        <v>16</v>
      </c>
      <c r="E15" s="83">
        <f>SUMPRODUCT('MPS parameters'!$B$18:$B$20,MPS!E11:E13)</f>
        <v>16</v>
      </c>
      <c r="F15" s="83">
        <f>SUMPRODUCT('MPS parameters'!$B$18:$B$20,MPS!F11:F13)</f>
        <v>16</v>
      </c>
      <c r="G15" s="83">
        <f>SUMPRODUCT('MPS parameters'!$B$18:$B$20,MPS!G11:G13)</f>
        <v>12</v>
      </c>
      <c r="H15" s="81">
        <f>SUM(B15:G15)</f>
        <v>360</v>
      </c>
      <c r="I15" s="74"/>
      <c r="J15" s="74" t="s">
        <v>77</v>
      </c>
      <c r="K15" s="74"/>
      <c r="M15" s="74"/>
      <c r="O15" s="74"/>
      <c r="P15" s="74">
        <f>SUMPRODUCT(K11:K13,'MPS parameters'!D18:D20)</f>
        <v>0</v>
      </c>
      <c r="Q15" s="74"/>
      <c r="R15" s="74"/>
    </row>
    <row r="16" spans="1:18" ht="12.75">
      <c r="A16" s="87" t="s">
        <v>5</v>
      </c>
      <c r="B16" s="83">
        <f aca="true" t="shared" si="0" ref="B16:G16">$P$4</f>
        <v>150</v>
      </c>
      <c r="C16" s="83">
        <f t="shared" si="0"/>
        <v>150</v>
      </c>
      <c r="D16" s="83">
        <f t="shared" si="0"/>
        <v>150</v>
      </c>
      <c r="E16" s="83">
        <f t="shared" si="0"/>
        <v>150</v>
      </c>
      <c r="F16" s="83">
        <f t="shared" si="0"/>
        <v>150</v>
      </c>
      <c r="G16" s="83">
        <f t="shared" si="0"/>
        <v>150</v>
      </c>
      <c r="H16" s="81">
        <f aca="true" t="shared" si="1" ref="H16:H22">SUM(B16:G16)</f>
        <v>900</v>
      </c>
      <c r="I16" s="74"/>
      <c r="J16" s="74"/>
      <c r="K16" s="74"/>
      <c r="M16" s="74"/>
      <c r="O16" s="74"/>
      <c r="P16" s="74"/>
      <c r="Q16" s="74"/>
      <c r="R16" s="74"/>
    </row>
    <row r="17" spans="1:18" ht="12.75">
      <c r="A17" s="87" t="s">
        <v>6</v>
      </c>
      <c r="B17" s="83">
        <f aca="true" t="shared" si="2" ref="B17:G17">MAX((B15-B16),0)</f>
        <v>0</v>
      </c>
      <c r="C17" s="83">
        <f t="shared" si="2"/>
        <v>0</v>
      </c>
      <c r="D17" s="83">
        <f t="shared" si="2"/>
        <v>0</v>
      </c>
      <c r="E17" s="83">
        <f t="shared" si="2"/>
        <v>0</v>
      </c>
      <c r="F17" s="83">
        <f t="shared" si="2"/>
        <v>0</v>
      </c>
      <c r="G17" s="83">
        <f t="shared" si="2"/>
        <v>0</v>
      </c>
      <c r="H17" s="81">
        <f t="shared" si="1"/>
        <v>0</v>
      </c>
      <c r="I17" s="74"/>
      <c r="J17" s="74" t="s">
        <v>78</v>
      </c>
      <c r="K17" s="74"/>
      <c r="M17" s="74"/>
      <c r="O17" s="74"/>
      <c r="P17" s="74">
        <f>SUMPRODUCT(R11:R13,'MPS parameters'!C18:C20)</f>
        <v>188.8</v>
      </c>
      <c r="Q17" s="74"/>
      <c r="R17" s="74"/>
    </row>
    <row r="18" spans="1:18" ht="12.75">
      <c r="A18" s="92" t="s">
        <v>81</v>
      </c>
      <c r="B18" s="91"/>
      <c r="C18" s="91"/>
      <c r="D18" s="91"/>
      <c r="E18" s="91"/>
      <c r="F18" s="91"/>
      <c r="G18" s="91"/>
      <c r="H18" s="81"/>
      <c r="I18" s="74"/>
      <c r="J18" s="74"/>
      <c r="K18" s="74"/>
      <c r="M18" s="74"/>
      <c r="O18" s="74"/>
      <c r="P18" s="74"/>
      <c r="Q18" s="74"/>
      <c r="R18" s="74"/>
    </row>
    <row r="19" spans="1:18" ht="12.75">
      <c r="A19" s="87" t="s">
        <v>41</v>
      </c>
      <c r="B19" s="192">
        <f>B16*'Aggregate Parameters'!$E$8+MPS!B17*'Aggregate Parameters'!$E$10</f>
        <v>1500</v>
      </c>
      <c r="C19" s="192">
        <f>C16*'Aggregate Parameters'!$E$8+MPS!C17*'Aggregate Parameters'!$E$10</f>
        <v>1500</v>
      </c>
      <c r="D19" s="192">
        <f>D16*'Aggregate Parameters'!$E$8+MPS!D17*'Aggregate Parameters'!$E$10</f>
        <v>1500</v>
      </c>
      <c r="E19" s="192">
        <f>E16*'Aggregate Parameters'!$E$8+MPS!E17*'Aggregate Parameters'!$E$10</f>
        <v>1500</v>
      </c>
      <c r="F19" s="192">
        <f>F16*'Aggregate Parameters'!$E$8+MPS!F17*'Aggregate Parameters'!$E$10</f>
        <v>1500</v>
      </c>
      <c r="G19" s="192">
        <f>G16*'Aggregate Parameters'!$E$8+MPS!G17*'Aggregate Parameters'!$E$10</f>
        <v>1500</v>
      </c>
      <c r="H19" s="81">
        <f t="shared" si="1"/>
        <v>9000</v>
      </c>
      <c r="I19" s="74"/>
      <c r="J19" s="74"/>
      <c r="K19" s="74"/>
      <c r="M19" s="74"/>
      <c r="O19" s="74"/>
      <c r="P19" s="74"/>
      <c r="Q19" s="74"/>
      <c r="R19" s="74"/>
    </row>
    <row r="20" spans="1:18" ht="13.5" thickBot="1">
      <c r="A20" s="94" t="s">
        <v>67</v>
      </c>
      <c r="B20" s="89">
        <f>SUMPRODUCT(B11:B13,'MPS parameters'!$E$18:$E$20)</f>
        <v>750</v>
      </c>
      <c r="C20" s="89">
        <f>SUMPRODUCT(C11:C13,'MPS parameters'!$E$18:$E$20)</f>
        <v>750</v>
      </c>
      <c r="D20" s="89">
        <f>SUMPRODUCT(D11:D13,'MPS parameters'!$E$18:$E$20)</f>
        <v>80</v>
      </c>
      <c r="E20" s="89">
        <f>SUMPRODUCT(E11:E13,'MPS parameters'!$E$18:$E$20)</f>
        <v>80</v>
      </c>
      <c r="F20" s="89">
        <f>SUMPRODUCT(F11:F13,'MPS parameters'!$E$18:$E$20)</f>
        <v>80</v>
      </c>
      <c r="G20" s="89">
        <f>SUMPRODUCT(G11:G13,'MPS parameters'!$E$18:$E$20)</f>
        <v>60</v>
      </c>
      <c r="H20" s="85">
        <f t="shared" si="1"/>
        <v>1800</v>
      </c>
      <c r="I20" s="74"/>
      <c r="J20" s="74" t="s">
        <v>80</v>
      </c>
      <c r="K20" s="74"/>
      <c r="M20" s="74"/>
      <c r="O20" s="74"/>
      <c r="P20" s="74">
        <f>H22*'MPS parameters'!B6</f>
        <v>150</v>
      </c>
      <c r="Q20" s="74"/>
      <c r="R20" s="74"/>
    </row>
    <row r="21" spans="1:18" ht="12.75">
      <c r="A21" s="79" t="s">
        <v>82</v>
      </c>
      <c r="B21" s="80"/>
      <c r="C21" s="80"/>
      <c r="D21" s="80"/>
      <c r="E21" s="80"/>
      <c r="F21" s="80"/>
      <c r="G21" s="80"/>
      <c r="H21" s="81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18" ht="15.75" thickBot="1">
      <c r="A22" s="88" t="s">
        <v>83</v>
      </c>
      <c r="B22" s="200">
        <v>2</v>
      </c>
      <c r="C22" s="200"/>
      <c r="D22" s="200">
        <v>1</v>
      </c>
      <c r="E22" s="200"/>
      <c r="F22" s="200"/>
      <c r="G22" s="200"/>
      <c r="H22" s="90">
        <f t="shared" si="1"/>
        <v>3</v>
      </c>
      <c r="I22" s="74"/>
      <c r="J22" s="74" t="s">
        <v>86</v>
      </c>
      <c r="K22" s="74"/>
      <c r="L22" s="74"/>
      <c r="M22" s="74"/>
      <c r="N22" s="74"/>
      <c r="O22" s="74"/>
      <c r="P22" s="74">
        <f>MAX(Q11,0)*'MPS parameters'!$D$18+MAX(MPS!Q12,0)*'MPS parameters'!$D$19+MAX(MPS!Q13,0)*'MPS parameters'!$D$20</f>
        <v>0</v>
      </c>
      <c r="Q22" s="74"/>
      <c r="R22" s="74"/>
    </row>
    <row r="23" spans="1:18" ht="12.75">
      <c r="A23" s="74" t="s">
        <v>79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6:14" ht="15">
      <c r="F25" s="198" t="s">
        <v>166</v>
      </c>
      <c r="G25" s="18"/>
      <c r="H25" s="18"/>
      <c r="I25" s="18"/>
      <c r="J25" s="18"/>
      <c r="K25" s="18"/>
      <c r="L25" s="18"/>
      <c r="M25" s="18"/>
      <c r="N25" s="18">
        <f>IF(F25&lt;&gt;"",AG1-H19-H20-P15-P17-P20+P22,"")</f>
        <v>-2738.8</v>
      </c>
    </row>
    <row r="27" ht="18">
      <c r="A27" s="3" t="s">
        <v>85</v>
      </c>
    </row>
    <row r="28" spans="1:10" ht="15">
      <c r="A28" s="18" t="s">
        <v>75</v>
      </c>
      <c r="J28" s="18" t="s">
        <v>84</v>
      </c>
    </row>
    <row r="29" spans="1:18" ht="13.5" thickBot="1">
      <c r="A29" s="74"/>
      <c r="B29" s="74"/>
      <c r="C29" s="74"/>
      <c r="D29" s="74"/>
      <c r="E29" s="74"/>
      <c r="F29" s="74"/>
      <c r="G29" s="74"/>
      <c r="H29" s="74"/>
      <c r="I29" s="74"/>
      <c r="J29" s="74" t="s">
        <v>76</v>
      </c>
      <c r="K29" s="74"/>
      <c r="L29" s="74"/>
      <c r="M29" s="74"/>
      <c r="N29" s="74"/>
      <c r="O29" s="74"/>
      <c r="P29" s="74"/>
      <c r="Q29" s="74"/>
      <c r="R29" s="74"/>
    </row>
    <row r="30" spans="1:18" ht="12.75">
      <c r="A30" s="75"/>
      <c r="B30" s="76" t="s">
        <v>70</v>
      </c>
      <c r="C30" s="76"/>
      <c r="D30" s="76"/>
      <c r="E30" s="76"/>
      <c r="F30" s="76"/>
      <c r="G30" s="76"/>
      <c r="H30" s="77"/>
      <c r="I30" s="74"/>
      <c r="J30" s="75"/>
      <c r="K30" s="78" t="s">
        <v>70</v>
      </c>
      <c r="L30" s="76"/>
      <c r="M30" s="76"/>
      <c r="N30" s="76"/>
      <c r="O30" s="76"/>
      <c r="P30" s="76"/>
      <c r="Q30" s="76"/>
      <c r="R30" s="77"/>
    </row>
    <row r="31" spans="1:18" ht="12.75">
      <c r="A31" s="79" t="s">
        <v>69</v>
      </c>
      <c r="B31" s="80">
        <v>1</v>
      </c>
      <c r="C31" s="80">
        <v>2</v>
      </c>
      <c r="D31" s="80">
        <v>3</v>
      </c>
      <c r="E31" s="80">
        <v>4</v>
      </c>
      <c r="F31" s="80">
        <v>5</v>
      </c>
      <c r="G31" s="80">
        <v>6</v>
      </c>
      <c r="H31" s="81" t="s">
        <v>74</v>
      </c>
      <c r="I31" s="74"/>
      <c r="J31" s="79" t="s">
        <v>69</v>
      </c>
      <c r="K31" s="80">
        <v>0</v>
      </c>
      <c r="L31" s="80">
        <v>1</v>
      </c>
      <c r="M31" s="80">
        <v>2</v>
      </c>
      <c r="N31" s="80">
        <v>3</v>
      </c>
      <c r="O31" s="80">
        <v>4</v>
      </c>
      <c r="P31" s="80">
        <v>5</v>
      </c>
      <c r="Q31" s="80">
        <v>6</v>
      </c>
      <c r="R31" s="81" t="s">
        <v>74</v>
      </c>
    </row>
    <row r="32" spans="1:18" ht="15">
      <c r="A32" s="82" t="s">
        <v>42</v>
      </c>
      <c r="B32" s="201">
        <v>10</v>
      </c>
      <c r="C32" s="201">
        <v>10</v>
      </c>
      <c r="D32" s="201">
        <v>10</v>
      </c>
      <c r="E32" s="201">
        <v>10</v>
      </c>
      <c r="F32" s="201">
        <v>10</v>
      </c>
      <c r="G32" s="201">
        <v>10</v>
      </c>
      <c r="H32" s="81">
        <f>SUM(B32:G32)</f>
        <v>60</v>
      </c>
      <c r="I32" s="74"/>
      <c r="J32" s="82" t="s">
        <v>42</v>
      </c>
      <c r="K32" s="83">
        <f>Q11</f>
        <v>0</v>
      </c>
      <c r="L32" s="83">
        <f>MAX(K32,0)+B32-'MPS parameters'!$D$25</f>
        <v>0</v>
      </c>
      <c r="M32" s="83">
        <f>MAX(L32,0)+C32-'MPS parameters'!$D$25</f>
        <v>0</v>
      </c>
      <c r="N32" s="83">
        <f>MAX(M32,0)+D32-'MPS parameters'!$D$25</f>
        <v>0</v>
      </c>
      <c r="O32" s="83">
        <f>MAX(N32,0)+E32-'MPS parameters'!$D$25</f>
        <v>0</v>
      </c>
      <c r="P32" s="83">
        <f>MAX(O32,0)+F32-'MPS parameters'!$D$25</f>
        <v>0</v>
      </c>
      <c r="Q32" s="83">
        <f>MAX(P32,0)+G32-'MPS parameters'!$D$25</f>
        <v>0</v>
      </c>
      <c r="R32" s="81">
        <f>MAX(0,L32)+MAX(0,M32)+MAX(0,N32)+MAX(0,O32)+MAX(0,P32)+MAX(0,Q32)</f>
        <v>0</v>
      </c>
    </row>
    <row r="33" spans="1:18" ht="15">
      <c r="A33" s="82" t="s">
        <v>43</v>
      </c>
      <c r="B33" s="201">
        <v>10</v>
      </c>
      <c r="C33" s="201">
        <v>10</v>
      </c>
      <c r="D33" s="201">
        <v>10</v>
      </c>
      <c r="E33" s="201">
        <v>10</v>
      </c>
      <c r="F33" s="201">
        <v>10</v>
      </c>
      <c r="G33" s="201">
        <v>10</v>
      </c>
      <c r="H33" s="81">
        <f>SUM(B33:G33)</f>
        <v>60</v>
      </c>
      <c r="I33" s="74"/>
      <c r="J33" s="82" t="s">
        <v>43</v>
      </c>
      <c r="K33" s="83">
        <f>Q12</f>
        <v>0</v>
      </c>
      <c r="L33" s="83">
        <f>MAX(0,K33)+B33-'MPS parameters'!$D$26</f>
        <v>0</v>
      </c>
      <c r="M33" s="83">
        <f>MAX(0,L33)+C33-'MPS parameters'!$D$26</f>
        <v>0</v>
      </c>
      <c r="N33" s="83">
        <f>MAX(0,M33)+D33-'MPS parameters'!$D$26</f>
        <v>0</v>
      </c>
      <c r="O33" s="83">
        <f>MAX(0,N33)+E33-'MPS parameters'!$D$26</f>
        <v>0</v>
      </c>
      <c r="P33" s="83">
        <f>MAX(0,O33)+F33-'MPS parameters'!$D$26</f>
        <v>0</v>
      </c>
      <c r="Q33" s="83">
        <f>MAX(0,P33)+G33-'MPS parameters'!$D$26</f>
        <v>0</v>
      </c>
      <c r="R33" s="81">
        <f>MAX(0,L33)+MAX(0,M33)+MAX(0,N33)+MAX(0,O33)+MAX(0,P33)+MAX(0,Q33)</f>
        <v>0</v>
      </c>
    </row>
    <row r="34" spans="1:18" ht="15.75" thickBot="1">
      <c r="A34" s="82" t="s">
        <v>44</v>
      </c>
      <c r="B34" s="202">
        <v>30</v>
      </c>
      <c r="C34" s="202">
        <v>30</v>
      </c>
      <c r="D34" s="202">
        <v>30</v>
      </c>
      <c r="E34" s="202">
        <v>30</v>
      </c>
      <c r="F34" s="202">
        <v>30</v>
      </c>
      <c r="G34" s="202">
        <v>30</v>
      </c>
      <c r="H34" s="81">
        <f>SUM(B34:G34)</f>
        <v>180</v>
      </c>
      <c r="I34" s="74"/>
      <c r="J34" s="84" t="s">
        <v>44</v>
      </c>
      <c r="K34" s="89">
        <f>Q13</f>
        <v>0</v>
      </c>
      <c r="L34" s="89">
        <f>MAX(0,K34)+B34-'MPS parameters'!$D$27</f>
        <v>0</v>
      </c>
      <c r="M34" s="89">
        <f>MAX(0,L34)+C34-'MPS parameters'!$D$27</f>
        <v>0</v>
      </c>
      <c r="N34" s="89">
        <f>MAX(0,M34)+D34-'MPS parameters'!$D$27</f>
        <v>0</v>
      </c>
      <c r="O34" s="89">
        <f>MAX(0,N34)+E34-'MPS parameters'!$D$27</f>
        <v>0</v>
      </c>
      <c r="P34" s="89">
        <f>MAX(0,O34)+F34-'MPS parameters'!$D$27</f>
        <v>0</v>
      </c>
      <c r="Q34" s="89">
        <f>MAX(0,P34)+G34-'MPS parameters'!$D$27</f>
        <v>0</v>
      </c>
      <c r="R34" s="85">
        <f>MAX(0,L34)+MAX(0,M34)+MAX(0,N34)+MAX(0,O34)+MAX(0,P34)+MAX(0,Q34)</f>
        <v>0</v>
      </c>
    </row>
    <row r="35" spans="1:18" ht="12.75">
      <c r="A35" s="75" t="s">
        <v>113</v>
      </c>
      <c r="B35" s="93"/>
      <c r="C35" s="93"/>
      <c r="D35" s="93"/>
      <c r="E35" s="93"/>
      <c r="F35" s="93"/>
      <c r="G35" s="93"/>
      <c r="H35" s="86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1:18" ht="12.75">
      <c r="A36" s="87" t="s">
        <v>114</v>
      </c>
      <c r="B36" s="83">
        <f>SUMPRODUCT('MPS parameters'!$B$18:$B$20,MPS!B32:B34)</f>
        <v>150</v>
      </c>
      <c r="C36" s="83">
        <f>SUMPRODUCT('MPS parameters'!$B$18:$B$20,MPS!C32:C34)</f>
        <v>150</v>
      </c>
      <c r="D36" s="83">
        <f>SUMPRODUCT('MPS parameters'!$B$18:$B$20,MPS!D32:D34)</f>
        <v>150</v>
      </c>
      <c r="E36" s="83">
        <f>SUMPRODUCT('MPS parameters'!$B$18:$B$20,MPS!E32:E34)</f>
        <v>150</v>
      </c>
      <c r="F36" s="83">
        <f>SUMPRODUCT('MPS parameters'!$B$18:$B$20,MPS!F32:F34)</f>
        <v>150</v>
      </c>
      <c r="G36" s="83">
        <f>SUMPRODUCT('MPS parameters'!$B$18:$B$20,MPS!G32:G34)</f>
        <v>150</v>
      </c>
      <c r="H36" s="81">
        <f>SUM(B36:G36)</f>
        <v>900</v>
      </c>
      <c r="I36" s="74"/>
      <c r="J36" s="74"/>
      <c r="K36" s="74"/>
      <c r="M36" s="74"/>
      <c r="N36" s="74"/>
      <c r="O36" s="74"/>
      <c r="P36" s="74"/>
      <c r="Q36" s="74"/>
      <c r="R36" s="74"/>
    </row>
    <row r="37" spans="1:18" ht="12.75">
      <c r="A37" s="87" t="s">
        <v>5</v>
      </c>
      <c r="B37" s="83">
        <f aca="true" t="shared" si="3" ref="B37:G37">$P$4</f>
        <v>150</v>
      </c>
      <c r="C37" s="83">
        <f t="shared" si="3"/>
        <v>150</v>
      </c>
      <c r="D37" s="83">
        <f t="shared" si="3"/>
        <v>150</v>
      </c>
      <c r="E37" s="83">
        <f t="shared" si="3"/>
        <v>150</v>
      </c>
      <c r="F37" s="83">
        <f t="shared" si="3"/>
        <v>150</v>
      </c>
      <c r="G37" s="83">
        <f t="shared" si="3"/>
        <v>150</v>
      </c>
      <c r="H37" s="81">
        <f>SUM(B37:G37)</f>
        <v>900</v>
      </c>
      <c r="I37" s="74"/>
      <c r="J37" s="74"/>
      <c r="K37" s="74"/>
      <c r="M37" s="74"/>
      <c r="N37" s="74"/>
      <c r="O37" s="74"/>
      <c r="P37" s="74"/>
      <c r="Q37" s="74"/>
      <c r="R37" s="74"/>
    </row>
    <row r="38" spans="1:18" ht="12.75">
      <c r="A38" s="87" t="s">
        <v>6</v>
      </c>
      <c r="B38" s="83">
        <f aca="true" t="shared" si="4" ref="B38:G38">MAX((B36-B37),0)</f>
        <v>0</v>
      </c>
      <c r="C38" s="83">
        <f t="shared" si="4"/>
        <v>0</v>
      </c>
      <c r="D38" s="83">
        <f t="shared" si="4"/>
        <v>0</v>
      </c>
      <c r="E38" s="83">
        <f t="shared" si="4"/>
        <v>0</v>
      </c>
      <c r="F38" s="83">
        <f t="shared" si="4"/>
        <v>0</v>
      </c>
      <c r="G38" s="83">
        <f t="shared" si="4"/>
        <v>0</v>
      </c>
      <c r="H38" s="81">
        <f>SUM(B38:G38)</f>
        <v>0</v>
      </c>
      <c r="I38" s="74"/>
      <c r="J38" s="74" t="s">
        <v>78</v>
      </c>
      <c r="K38" s="74"/>
      <c r="M38" s="74"/>
      <c r="O38" s="74"/>
      <c r="P38" s="74">
        <f>SUMPRODUCT(R32:R34,'MPS parameters'!C18:C20)</f>
        <v>0</v>
      </c>
      <c r="Q38" s="74"/>
      <c r="R38" s="74"/>
    </row>
    <row r="39" spans="1:18" ht="12.75">
      <c r="A39" s="92" t="s">
        <v>81</v>
      </c>
      <c r="B39" s="91"/>
      <c r="C39" s="91"/>
      <c r="D39" s="91"/>
      <c r="E39" s="91"/>
      <c r="F39" s="91"/>
      <c r="G39" s="91"/>
      <c r="H39" s="81"/>
      <c r="I39" s="74"/>
      <c r="J39" s="74"/>
      <c r="K39" s="74"/>
      <c r="M39" s="74"/>
      <c r="O39" s="74"/>
      <c r="P39" s="74"/>
      <c r="Q39" s="74"/>
      <c r="R39" s="74"/>
    </row>
    <row r="40" spans="1:18" ht="12.75">
      <c r="A40" s="87" t="s">
        <v>41</v>
      </c>
      <c r="B40" s="192">
        <f>B37*'Aggregate Parameters'!$E$8+MPS!B38*'Aggregate Parameters'!$E$10</f>
        <v>1500</v>
      </c>
      <c r="C40" s="192">
        <f>C37*'Aggregate Parameters'!$E$8+MPS!C38*'Aggregate Parameters'!$E$10</f>
        <v>1500</v>
      </c>
      <c r="D40" s="192">
        <f>D37*'Aggregate Parameters'!$E$8+MPS!D38*'Aggregate Parameters'!$E$10</f>
        <v>1500</v>
      </c>
      <c r="E40" s="192">
        <f>E37*'Aggregate Parameters'!$E$8+MPS!E38*'Aggregate Parameters'!$E$10</f>
        <v>1500</v>
      </c>
      <c r="F40" s="192">
        <f>F37*'Aggregate Parameters'!$E$8+MPS!F38*'Aggregate Parameters'!$E$10</f>
        <v>1500</v>
      </c>
      <c r="G40" s="192">
        <f>G37*'Aggregate Parameters'!$E$8+MPS!G38*'Aggregate Parameters'!$E$10</f>
        <v>1500</v>
      </c>
      <c r="H40" s="81">
        <f>SUM(B40:G40)</f>
        <v>9000</v>
      </c>
      <c r="I40" s="74"/>
      <c r="J40" s="74"/>
      <c r="K40" s="74"/>
      <c r="M40" s="74"/>
      <c r="O40" s="74"/>
      <c r="P40" s="74"/>
      <c r="Q40" s="74"/>
      <c r="R40" s="74"/>
    </row>
    <row r="41" spans="1:18" ht="13.5" thickBot="1">
      <c r="A41" s="94" t="s">
        <v>67</v>
      </c>
      <c r="B41" s="89">
        <f>SUMPRODUCT(B32:B34,'MPS parameters'!$E$18:$E$20)</f>
        <v>750</v>
      </c>
      <c r="C41" s="89">
        <f>SUMPRODUCT(C32:C34,'MPS parameters'!$E$18:$E$20)</f>
        <v>750</v>
      </c>
      <c r="D41" s="89">
        <f>SUMPRODUCT(D32:D34,'MPS parameters'!$E$18:$E$20)</f>
        <v>750</v>
      </c>
      <c r="E41" s="89">
        <f>SUMPRODUCT(E32:E34,'MPS parameters'!$E$18:$E$20)</f>
        <v>750</v>
      </c>
      <c r="F41" s="89">
        <f>SUMPRODUCT(F32:F34,'MPS parameters'!$E$18:$E$20)</f>
        <v>750</v>
      </c>
      <c r="G41" s="89">
        <f>SUMPRODUCT(G32:G34,'MPS parameters'!$E$18:$E$20)</f>
        <v>750</v>
      </c>
      <c r="H41" s="85">
        <f>SUM(B41:G41)</f>
        <v>4500</v>
      </c>
      <c r="I41" s="74"/>
      <c r="J41" s="74" t="s">
        <v>80</v>
      </c>
      <c r="K41" s="74"/>
      <c r="M41" s="74"/>
      <c r="O41" s="74"/>
      <c r="P41" s="74">
        <f>H43*'MPS parameters'!B6</f>
        <v>600</v>
      </c>
      <c r="Q41" s="74"/>
      <c r="R41" s="74"/>
    </row>
    <row r="42" spans="1:18" ht="12.75">
      <c r="A42" s="79" t="s">
        <v>82</v>
      </c>
      <c r="B42" s="80"/>
      <c r="C42" s="80"/>
      <c r="D42" s="80"/>
      <c r="E42" s="80"/>
      <c r="F42" s="80"/>
      <c r="G42" s="80"/>
      <c r="H42" s="81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1:18" ht="15.75" thickBot="1">
      <c r="A43" s="88" t="s">
        <v>83</v>
      </c>
      <c r="B43" s="200">
        <v>2</v>
      </c>
      <c r="C43" s="200">
        <v>2</v>
      </c>
      <c r="D43" s="200">
        <v>2</v>
      </c>
      <c r="E43" s="200">
        <v>2</v>
      </c>
      <c r="F43" s="200">
        <v>2</v>
      </c>
      <c r="G43" s="200">
        <v>2</v>
      </c>
      <c r="H43" s="90">
        <f>SUM(B43:G43)</f>
        <v>12</v>
      </c>
      <c r="I43" s="74"/>
      <c r="J43" s="74" t="s">
        <v>86</v>
      </c>
      <c r="K43" s="74"/>
      <c r="L43" s="74"/>
      <c r="M43" s="74"/>
      <c r="N43" s="74"/>
      <c r="O43" s="74"/>
      <c r="P43" s="74">
        <f>MAX(Q32,0)*'MPS parameters'!$D$18+MAX(MPS!Q33,0)*'MPS parameters'!$D$19+MAX(MPS!Q34,0)*'MPS parameters'!$D$20</f>
        <v>0</v>
      </c>
      <c r="Q43" s="74"/>
      <c r="R43" s="74"/>
    </row>
    <row r="44" spans="1:18" ht="12.75">
      <c r="A44" s="74" t="s">
        <v>79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6:14" ht="15">
      <c r="F46" s="198" t="s">
        <v>167</v>
      </c>
      <c r="N46" s="18">
        <f>IF(F46&lt;&gt;"",AG2-H40-H41-P38-P41+N25-P22+P43,"")</f>
        <v>4161.2</v>
      </c>
    </row>
  </sheetData>
  <sheetProtection sheet="1" objects="1" scenarios="1"/>
  <dataValidations count="3">
    <dataValidation type="whole" allowBlank="1" showInputMessage="1" showErrorMessage="1" sqref="B22:G22 B43:G43">
      <formula1>0</formula1>
      <formula2>2</formula2>
    </dataValidation>
    <dataValidation type="whole" allowBlank="1" showInputMessage="1" showErrorMessage="1" sqref="B11:G13 B32:G34">
      <formula1>0</formula1>
      <formula2>200</formula2>
    </dataValidation>
    <dataValidation type="whole" allowBlank="1" showInputMessage="1" showErrorMessage="1" sqref="K11:K13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portrait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H23"/>
  <sheetViews>
    <sheetView showRowColHeaders="0" zoomScale="130" zoomScaleNormal="130" workbookViewId="0" topLeftCell="A1">
      <selection activeCell="A1" sqref="A1"/>
    </sheetView>
  </sheetViews>
  <sheetFormatPr defaultColWidth="9.140625" defaultRowHeight="12.75"/>
  <cols>
    <col min="1" max="1" width="18.421875" style="1" customWidth="1"/>
    <col min="2" max="16384" width="9.140625" style="1" customWidth="1"/>
  </cols>
  <sheetData>
    <row r="3" ht="15">
      <c r="D3" s="25" t="s">
        <v>117</v>
      </c>
    </row>
    <row r="4" ht="18">
      <c r="D4" s="19" t="s">
        <v>118</v>
      </c>
    </row>
    <row r="5" ht="13.5" thickBot="1"/>
    <row r="6" spans="1:2" ht="13.5" thickBot="1">
      <c r="A6" s="108" t="s">
        <v>129</v>
      </c>
      <c r="B6" s="69">
        <v>4</v>
      </c>
    </row>
    <row r="7" ht="12.75"/>
    <row r="8" spans="1:8" ht="13.5" thickBot="1">
      <c r="A8" s="32" t="s">
        <v>40</v>
      </c>
      <c r="B8" s="32"/>
      <c r="C8" s="32"/>
      <c r="D8" s="32"/>
      <c r="E8" s="32"/>
      <c r="F8" s="32"/>
      <c r="G8" s="32"/>
      <c r="H8" s="32"/>
    </row>
    <row r="9" spans="1:8" ht="13.5" thickBot="1">
      <c r="A9" s="117" t="s">
        <v>119</v>
      </c>
      <c r="B9" s="109" t="s">
        <v>120</v>
      </c>
      <c r="C9" s="110" t="s">
        <v>121</v>
      </c>
      <c r="D9" s="111" t="s">
        <v>122</v>
      </c>
      <c r="E9" s="112" t="s">
        <v>123</v>
      </c>
      <c r="F9" s="31"/>
      <c r="H9" s="32"/>
    </row>
    <row r="10" spans="1:8" ht="12.75">
      <c r="A10" s="50" t="s">
        <v>42</v>
      </c>
      <c r="B10" s="113">
        <v>1</v>
      </c>
      <c r="C10" s="113">
        <v>1</v>
      </c>
      <c r="D10" s="113">
        <v>0</v>
      </c>
      <c r="E10" s="114">
        <v>0</v>
      </c>
      <c r="F10" s="32"/>
      <c r="H10" s="32"/>
    </row>
    <row r="11" spans="1:8" ht="12.75">
      <c r="A11" s="50" t="s">
        <v>43</v>
      </c>
      <c r="B11" s="113">
        <v>0</v>
      </c>
      <c r="C11" s="113">
        <v>1</v>
      </c>
      <c r="D11" s="113">
        <v>1</v>
      </c>
      <c r="E11" s="114">
        <v>0</v>
      </c>
      <c r="F11" s="32"/>
      <c r="H11" s="32"/>
    </row>
    <row r="12" spans="1:8" ht="13.5" thickBot="1">
      <c r="A12" s="54" t="s">
        <v>44</v>
      </c>
      <c r="B12" s="115">
        <v>1</v>
      </c>
      <c r="C12" s="115">
        <v>0</v>
      </c>
      <c r="D12" s="115">
        <v>0</v>
      </c>
      <c r="E12" s="116">
        <v>1</v>
      </c>
      <c r="F12" s="32"/>
      <c r="H12" s="32"/>
    </row>
    <row r="13" spans="1:8" ht="12.75">
      <c r="A13" s="31"/>
      <c r="B13" s="32"/>
      <c r="C13" s="32"/>
      <c r="D13" s="32"/>
      <c r="E13" s="32"/>
      <c r="F13" s="32"/>
      <c r="H13" s="107"/>
    </row>
    <row r="14" spans="1:8" ht="12.75">
      <c r="A14" s="31"/>
      <c r="B14" s="106"/>
      <c r="C14" s="107"/>
      <c r="D14" s="107"/>
      <c r="E14" s="32"/>
      <c r="F14" s="32"/>
      <c r="H14" s="107"/>
    </row>
    <row r="15" spans="1:8" ht="12.75">
      <c r="A15" s="32"/>
      <c r="B15" s="32"/>
      <c r="C15" s="32"/>
      <c r="D15" s="32"/>
      <c r="E15" s="32"/>
      <c r="F15" s="32"/>
      <c r="G15" s="16"/>
      <c r="H15" s="107"/>
    </row>
    <row r="16" spans="1:8" ht="13.5" thickBot="1">
      <c r="A16" s="32" t="s">
        <v>124</v>
      </c>
      <c r="B16" s="32"/>
      <c r="C16" s="32"/>
      <c r="D16" s="32"/>
      <c r="E16" s="32"/>
      <c r="F16" s="14" t="s">
        <v>94</v>
      </c>
      <c r="H16" s="107"/>
    </row>
    <row r="17" spans="1:8" ht="13.5" thickBot="1">
      <c r="A17" s="123" t="s">
        <v>47</v>
      </c>
      <c r="B17" s="122" t="s">
        <v>120</v>
      </c>
      <c r="C17" s="110" t="s">
        <v>121</v>
      </c>
      <c r="D17" s="111" t="s">
        <v>122</v>
      </c>
      <c r="E17" s="112" t="s">
        <v>123</v>
      </c>
      <c r="F17" s="118" t="s">
        <v>130</v>
      </c>
      <c r="H17" s="107"/>
    </row>
    <row r="18" spans="1:8" ht="12.75">
      <c r="A18" s="124" t="s">
        <v>125</v>
      </c>
      <c r="B18" s="52">
        <v>5</v>
      </c>
      <c r="C18" s="52">
        <v>5</v>
      </c>
      <c r="D18" s="52">
        <v>15</v>
      </c>
      <c r="E18" s="53">
        <v>10</v>
      </c>
      <c r="F18" s="118" t="s">
        <v>131</v>
      </c>
      <c r="H18" s="106"/>
    </row>
    <row r="19" spans="1:8" ht="13.5" thickBot="1">
      <c r="A19" s="125" t="s">
        <v>127</v>
      </c>
      <c r="B19" s="55">
        <v>0.15</v>
      </c>
      <c r="C19" s="55">
        <v>0.15</v>
      </c>
      <c r="D19" s="55">
        <v>0.45</v>
      </c>
      <c r="E19" s="119">
        <v>0.3</v>
      </c>
      <c r="F19" s="118" t="s">
        <v>132</v>
      </c>
      <c r="H19" s="107"/>
    </row>
    <row r="20" spans="1:8" ht="13.5" thickBot="1">
      <c r="A20" s="126" t="s">
        <v>126</v>
      </c>
      <c r="B20" s="120">
        <v>1</v>
      </c>
      <c r="C20" s="120">
        <v>1</v>
      </c>
      <c r="D20" s="120">
        <v>2</v>
      </c>
      <c r="E20" s="121">
        <v>1</v>
      </c>
      <c r="F20" s="118" t="s">
        <v>133</v>
      </c>
      <c r="H20" s="107"/>
    </row>
    <row r="21" spans="1:8" ht="12.75">
      <c r="A21" s="32"/>
      <c r="B21" s="107"/>
      <c r="C21" s="106"/>
      <c r="D21" s="107"/>
      <c r="E21" s="32"/>
      <c r="F21" s="16"/>
      <c r="H21" s="32"/>
    </row>
    <row r="22" ht="13.5" thickBot="1"/>
    <row r="23" spans="1:2" ht="13.5" thickBot="1">
      <c r="A23" s="67" t="s">
        <v>128</v>
      </c>
      <c r="B23" s="127">
        <v>12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9"/>
  <drawing r:id="rId8"/>
  <legacyDrawing r:id="rId7"/>
  <oleObjects>
    <oleObject progId="MS_ClipArt_Gallery" shapeId="322680" r:id="rId1"/>
    <oleObject progId="MS_ClipArt_Gallery" shapeId="318939" r:id="rId2"/>
    <oleObject progId="MS_ClipArt_Gallery" shapeId="319040" r:id="rId3"/>
    <oleObject progId="MS_ClipArt_Gallery" shapeId="319772" r:id="rId4"/>
    <oleObject progId="MS_ClipArt_Gallery" shapeId="328163" r:id="rId5"/>
    <oleObject progId="MS_ClipArt_Gallery" shapeId="328413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79"/>
  <sheetViews>
    <sheetView showRowColHeaders="0" tabSelected="1" zoomScale="132" zoomScaleNormal="132" workbookViewId="0" topLeftCell="A1">
      <selection activeCell="A79" sqref="A79"/>
    </sheetView>
  </sheetViews>
  <sheetFormatPr defaultColWidth="9.140625" defaultRowHeight="12.75"/>
  <cols>
    <col min="1" max="1" width="17.00390625" style="1" customWidth="1"/>
    <col min="2" max="2" width="5.57421875" style="1" customWidth="1"/>
    <col min="3" max="3" width="6.7109375" style="1" customWidth="1"/>
    <col min="4" max="13" width="7.140625" style="1" customWidth="1"/>
    <col min="14" max="14" width="6.28125" style="1" customWidth="1"/>
    <col min="15" max="17" width="7.140625" style="1" customWidth="1"/>
    <col min="18" max="16384" width="9.140625" style="1" customWidth="1"/>
  </cols>
  <sheetData>
    <row r="1" spans="1:28" ht="23.25" customHeight="1" thickBot="1">
      <c r="A1" s="24" t="s">
        <v>35</v>
      </c>
      <c r="B1" s="190"/>
      <c r="C1" s="184" t="str">
        <f>MPS!D1</f>
        <v>AMA 410</v>
      </c>
      <c r="D1" s="128"/>
      <c r="E1" s="128"/>
      <c r="F1" s="128"/>
      <c r="G1" s="69"/>
      <c r="K1" s="211" t="s">
        <v>169</v>
      </c>
      <c r="AB1" s="204">
        <v>0</v>
      </c>
    </row>
    <row r="2" ht="11.25" customHeight="1">
      <c r="A2" s="20"/>
    </row>
    <row r="3" ht="20.25">
      <c r="A3" s="21" t="s">
        <v>158</v>
      </c>
    </row>
    <row r="4" ht="20.25">
      <c r="A4" s="2" t="s">
        <v>157</v>
      </c>
    </row>
    <row r="5" ht="13.5" thickBot="1"/>
    <row r="6" spans="6:13" ht="13.5" thickBot="1">
      <c r="F6" s="4" t="s">
        <v>137</v>
      </c>
      <c r="G6" s="5"/>
      <c r="H6" s="5"/>
      <c r="I6" s="5"/>
      <c r="J6" s="5"/>
      <c r="K6" s="5"/>
      <c r="L6" s="9" t="s">
        <v>138</v>
      </c>
      <c r="M6" s="9"/>
    </row>
    <row r="7" spans="1:13" ht="13.5" thickBot="1">
      <c r="A7" s="130" t="s">
        <v>134</v>
      </c>
      <c r="B7" s="5"/>
      <c r="C7" s="5" t="s">
        <v>141</v>
      </c>
      <c r="D7" s="5">
        <f>'MRP Parameters'!B20</f>
        <v>1</v>
      </c>
      <c r="E7" s="5"/>
      <c r="F7" s="129">
        <f>'MRP Parameters'!B19</f>
        <v>0.15</v>
      </c>
      <c r="G7" s="100"/>
      <c r="H7" s="100"/>
      <c r="I7" s="100"/>
      <c r="J7" s="128"/>
      <c r="K7" s="128"/>
      <c r="L7" s="134">
        <f>'MRP Parameters'!B18</f>
        <v>5</v>
      </c>
      <c r="M7" s="69"/>
    </row>
    <row r="8" spans="1:14" ht="13.5" thickBot="1">
      <c r="A8" s="108" t="s">
        <v>135</v>
      </c>
      <c r="B8" s="70">
        <v>0</v>
      </c>
      <c r="C8" s="70">
        <v>1</v>
      </c>
      <c r="D8" s="70">
        <v>2</v>
      </c>
      <c r="E8" s="29">
        <v>3</v>
      </c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65">
        <v>9</v>
      </c>
      <c r="L8" s="27">
        <v>10</v>
      </c>
      <c r="M8" s="65">
        <v>11</v>
      </c>
      <c r="N8" s="70">
        <v>12</v>
      </c>
    </row>
    <row r="9" spans="1:14" ht="12.75">
      <c r="A9" s="4"/>
      <c r="B9" s="29"/>
      <c r="C9" s="29"/>
      <c r="D9" s="96"/>
      <c r="E9" s="29"/>
      <c r="F9" s="60"/>
      <c r="G9" s="29"/>
      <c r="H9" s="29"/>
      <c r="I9" s="29"/>
      <c r="J9" s="29"/>
      <c r="K9" s="29"/>
      <c r="L9" s="29"/>
      <c r="M9" s="29"/>
      <c r="N9" s="29"/>
    </row>
    <row r="10" spans="1:14" ht="12.75">
      <c r="A10" s="26" t="s">
        <v>142</v>
      </c>
      <c r="B10" s="44"/>
      <c r="C10" s="133">
        <f>SUMPRODUCT('MRP Parameters'!$B$10:$B$12,MPS!B11:B13)</f>
        <v>46</v>
      </c>
      <c r="D10" s="136">
        <f>SUMPRODUCT('MRP Parameters'!$B$10:$B$12,MPS!C11:C13)</f>
        <v>50</v>
      </c>
      <c r="E10" s="133">
        <f>SUMPRODUCT('MRP Parameters'!$B$10:$B$12,MPS!D11:D13)</f>
        <v>0</v>
      </c>
      <c r="F10" s="132">
        <f>SUMPRODUCT('MRP Parameters'!$B$10:$B$12,MPS!E11:E13)</f>
        <v>0</v>
      </c>
      <c r="G10" s="133">
        <f>SUMPRODUCT('MRP Parameters'!$B$10:$B$12,MPS!F11:F13)</f>
        <v>0</v>
      </c>
      <c r="H10" s="133">
        <f>SUMPRODUCT('MRP Parameters'!$B$10:$B$12,MPS!G11:G13)</f>
        <v>0</v>
      </c>
      <c r="I10" s="133">
        <f>SUMPRODUCT('MRP Parameters'!$B$10:$B$12,MPS!B32:B34)</f>
        <v>40</v>
      </c>
      <c r="J10" s="133">
        <f>SUMPRODUCT('MRP Parameters'!$B$10:$B$12,MPS!C32:C34)</f>
        <v>40</v>
      </c>
      <c r="K10" s="133">
        <f>SUMPRODUCT('MRP Parameters'!$B$10:$B$12,MPS!D32:D34)</f>
        <v>40</v>
      </c>
      <c r="L10" s="133">
        <f>SUMPRODUCT('MRP Parameters'!$B$10:$B$12,MPS!E32:E34)</f>
        <v>40</v>
      </c>
      <c r="M10" s="133">
        <f>SUMPRODUCT('MRP Parameters'!$B$10:$B$12,MPS!F32:F34)</f>
        <v>40</v>
      </c>
      <c r="N10" s="133">
        <f>SUMPRODUCT('MRP Parameters'!$B$10:$B$12,MPS!G32:G34)</f>
        <v>40</v>
      </c>
    </row>
    <row r="11" spans="1:14" ht="12.75">
      <c r="A11" s="26" t="s">
        <v>3</v>
      </c>
      <c r="B11" s="205">
        <v>46</v>
      </c>
      <c r="C11" s="132">
        <f>MAX(0,(B11+-C10))</f>
        <v>0</v>
      </c>
      <c r="D11" s="136">
        <f aca="true" t="shared" si="0" ref="D11:N11">MAX(0,(C11+D13-D10))</f>
        <v>0</v>
      </c>
      <c r="E11" s="133">
        <f t="shared" si="0"/>
        <v>0</v>
      </c>
      <c r="F11" s="132">
        <f t="shared" si="0"/>
        <v>0</v>
      </c>
      <c r="G11" s="133">
        <f t="shared" si="0"/>
        <v>0</v>
      </c>
      <c r="H11" s="133">
        <f t="shared" si="0"/>
        <v>0</v>
      </c>
      <c r="I11" s="133">
        <f t="shared" si="0"/>
        <v>40</v>
      </c>
      <c r="J11" s="133">
        <f t="shared" si="0"/>
        <v>0</v>
      </c>
      <c r="K11" s="133">
        <f t="shared" si="0"/>
        <v>40</v>
      </c>
      <c r="L11" s="133">
        <f t="shared" si="0"/>
        <v>0</v>
      </c>
      <c r="M11" s="133">
        <f t="shared" si="0"/>
        <v>40</v>
      </c>
      <c r="N11" s="133">
        <f t="shared" si="0"/>
        <v>0</v>
      </c>
    </row>
    <row r="12" spans="1:14" ht="13.5" thickBot="1">
      <c r="A12" s="26" t="s">
        <v>136</v>
      </c>
      <c r="B12" s="44"/>
      <c r="C12" s="133">
        <f>MAX(0,C10-B11)</f>
        <v>0</v>
      </c>
      <c r="D12" s="136">
        <f aca="true" t="shared" si="1" ref="D12:N12">MAX(0,D10-C11-D13)</f>
        <v>0</v>
      </c>
      <c r="E12" s="133">
        <f t="shared" si="1"/>
        <v>0</v>
      </c>
      <c r="F12" s="132">
        <f t="shared" si="1"/>
        <v>0</v>
      </c>
      <c r="G12" s="133">
        <f t="shared" si="1"/>
        <v>0</v>
      </c>
      <c r="H12" s="133">
        <f t="shared" si="1"/>
        <v>0</v>
      </c>
      <c r="I12" s="133">
        <f t="shared" si="1"/>
        <v>0</v>
      </c>
      <c r="J12" s="133">
        <f t="shared" si="1"/>
        <v>0</v>
      </c>
      <c r="K12" s="133">
        <f t="shared" si="1"/>
        <v>0</v>
      </c>
      <c r="L12" s="133">
        <f t="shared" si="1"/>
        <v>0</v>
      </c>
      <c r="M12" s="133">
        <f t="shared" si="1"/>
        <v>0</v>
      </c>
      <c r="N12" s="133">
        <f t="shared" si="1"/>
        <v>0</v>
      </c>
    </row>
    <row r="13" spans="1:14" ht="12.75">
      <c r="A13" s="26" t="s">
        <v>155</v>
      </c>
      <c r="B13" s="97"/>
      <c r="C13" s="137" t="s">
        <v>25</v>
      </c>
      <c r="D13" s="207">
        <v>50</v>
      </c>
      <c r="E13" s="207"/>
      <c r="F13" s="207"/>
      <c r="G13" s="207"/>
      <c r="H13" s="207"/>
      <c r="I13" s="207">
        <v>80</v>
      </c>
      <c r="J13" s="207"/>
      <c r="K13" s="207">
        <v>80</v>
      </c>
      <c r="L13" s="207"/>
      <c r="M13" s="207">
        <v>80</v>
      </c>
      <c r="N13" s="208"/>
    </row>
    <row r="14" spans="1:14" ht="13.5" thickBot="1">
      <c r="A14" s="26" t="s">
        <v>143</v>
      </c>
      <c r="B14" s="97"/>
      <c r="C14" s="206">
        <v>50</v>
      </c>
      <c r="D14" s="209"/>
      <c r="E14" s="209"/>
      <c r="F14" s="209"/>
      <c r="G14" s="209"/>
      <c r="H14" s="209">
        <v>80</v>
      </c>
      <c r="I14" s="209"/>
      <c r="J14" s="209">
        <v>80</v>
      </c>
      <c r="K14" s="209"/>
      <c r="L14" s="209">
        <v>80</v>
      </c>
      <c r="M14" s="209"/>
      <c r="N14" s="210"/>
    </row>
    <row r="15" spans="1:14" ht="12.75">
      <c r="A15" s="26" t="s">
        <v>139</v>
      </c>
      <c r="B15" s="133"/>
      <c r="C15" s="132"/>
      <c r="D15" s="133"/>
      <c r="E15" s="133"/>
      <c r="F15" s="133"/>
      <c r="G15" s="133"/>
      <c r="H15" s="133"/>
      <c r="I15" s="133"/>
      <c r="J15" s="133"/>
      <c r="K15" s="131"/>
      <c r="L15" s="133"/>
      <c r="M15" s="131"/>
      <c r="N15" s="133"/>
    </row>
    <row r="16" spans="1:14" ht="13.5" thickBot="1">
      <c r="A16" s="135" t="s">
        <v>140</v>
      </c>
      <c r="B16" s="27">
        <f>IF(B11&gt;0,1,0)</f>
        <v>1</v>
      </c>
      <c r="C16" s="66">
        <f>IF(C14&gt;0,1,0)</f>
        <v>1</v>
      </c>
      <c r="D16" s="27">
        <f aca="true" t="shared" si="2" ref="D16:N16">IF(D14&gt;0,1,0)</f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1</v>
      </c>
      <c r="I16" s="27">
        <f t="shared" si="2"/>
        <v>0</v>
      </c>
      <c r="J16" s="27">
        <f t="shared" si="2"/>
        <v>1</v>
      </c>
      <c r="K16" s="65">
        <f t="shared" si="2"/>
        <v>0</v>
      </c>
      <c r="L16" s="27">
        <f t="shared" si="2"/>
        <v>1</v>
      </c>
      <c r="M16" s="65">
        <f t="shared" si="2"/>
        <v>0</v>
      </c>
      <c r="N16" s="27">
        <f t="shared" si="2"/>
        <v>0</v>
      </c>
    </row>
    <row r="17" ht="12.75">
      <c r="A17" s="1" t="s">
        <v>144</v>
      </c>
    </row>
    <row r="19" spans="1:5" ht="12.75">
      <c r="A19" s="1" t="s">
        <v>156</v>
      </c>
      <c r="D19" s="143">
        <f>SUM(B16:N16)*'MRP Parameters'!$B$23+SUM(C11:N11)*F7</f>
        <v>78</v>
      </c>
      <c r="E19" s="22"/>
    </row>
    <row r="20" ht="12.75">
      <c r="D20" s="143"/>
    </row>
    <row r="21" ht="10.5" customHeight="1"/>
    <row r="22" ht="10.5" customHeight="1"/>
    <row r="23" ht="13.5" thickBot="1"/>
    <row r="24" spans="6:13" ht="13.5" thickBot="1">
      <c r="F24" s="4" t="s">
        <v>137</v>
      </c>
      <c r="G24" s="5"/>
      <c r="H24" s="5"/>
      <c r="I24" s="5"/>
      <c r="J24" s="5"/>
      <c r="K24" s="5"/>
      <c r="L24" s="9" t="s">
        <v>138</v>
      </c>
      <c r="M24" s="9"/>
    </row>
    <row r="25" spans="1:13" ht="13.5" thickBot="1">
      <c r="A25" s="138" t="s">
        <v>145</v>
      </c>
      <c r="B25" s="5"/>
      <c r="C25" s="5" t="s">
        <v>141</v>
      </c>
      <c r="D25" s="5">
        <f>'MRP Parameters'!C20</f>
        <v>1</v>
      </c>
      <c r="E25" s="5"/>
      <c r="F25" s="129">
        <f>'MRP Parameters'!C19</f>
        <v>0.15</v>
      </c>
      <c r="G25" s="100"/>
      <c r="H25" s="100"/>
      <c r="I25" s="100"/>
      <c r="J25" s="128"/>
      <c r="K25" s="128"/>
      <c r="L25" s="134">
        <f>'MRP Parameters'!C18</f>
        <v>5</v>
      </c>
      <c r="M25" s="69"/>
    </row>
    <row r="26" spans="1:14" ht="13.5" thickBot="1">
      <c r="A26" s="108" t="s">
        <v>135</v>
      </c>
      <c r="B26" s="70">
        <v>0</v>
      </c>
      <c r="C26" s="70">
        <v>1</v>
      </c>
      <c r="D26" s="70">
        <v>2</v>
      </c>
      <c r="E26" s="29">
        <v>3</v>
      </c>
      <c r="F26" s="27">
        <v>4</v>
      </c>
      <c r="G26" s="27">
        <v>5</v>
      </c>
      <c r="H26" s="27">
        <v>6</v>
      </c>
      <c r="I26" s="27">
        <v>7</v>
      </c>
      <c r="J26" s="27">
        <v>8</v>
      </c>
      <c r="K26" s="65">
        <v>9</v>
      </c>
      <c r="L26" s="27">
        <v>10</v>
      </c>
      <c r="M26" s="65">
        <v>11</v>
      </c>
      <c r="N26" s="70">
        <v>12</v>
      </c>
    </row>
    <row r="27" spans="1:14" ht="12.75">
      <c r="A27" s="4"/>
      <c r="B27" s="29"/>
      <c r="C27" s="29"/>
      <c r="D27" s="96"/>
      <c r="E27" s="29"/>
      <c r="F27" s="60"/>
      <c r="G27" s="29"/>
      <c r="H27" s="29"/>
      <c r="I27" s="29"/>
      <c r="J27" s="29"/>
      <c r="K27" s="29"/>
      <c r="L27" s="29"/>
      <c r="M27" s="29"/>
      <c r="N27" s="29"/>
    </row>
    <row r="28" spans="1:14" ht="12.75">
      <c r="A28" s="26" t="s">
        <v>142</v>
      </c>
      <c r="B28" s="44"/>
      <c r="C28" s="133">
        <f>SUMPRODUCT('MRP Parameters'!$C$10:$C$12,MPS!B11:B13)</f>
        <v>33</v>
      </c>
      <c r="D28" s="133">
        <f>SUMPRODUCT('MRP Parameters'!$C$10:$C$12,MPS!C11:C13)</f>
        <v>0</v>
      </c>
      <c r="E28" s="133">
        <f>SUMPRODUCT('MRP Parameters'!$C$10:$C$12,MPS!D11:D13)</f>
        <v>4</v>
      </c>
      <c r="F28" s="133">
        <f>SUMPRODUCT('MRP Parameters'!$C$10:$C$12,MPS!E11:E13)</f>
        <v>4</v>
      </c>
      <c r="G28" s="133">
        <f>SUMPRODUCT('MRP Parameters'!$C$10:$C$12,MPS!F11:F13)</f>
        <v>4</v>
      </c>
      <c r="H28" s="133">
        <f>SUMPRODUCT('MRP Parameters'!$C$10:$C$12,MPS!G11:G13)</f>
        <v>3</v>
      </c>
      <c r="I28" s="133">
        <f>SUMPRODUCT('MRP Parameters'!$C$10:$C$12,MPS!B32:B34)</f>
        <v>20</v>
      </c>
      <c r="J28" s="133">
        <f>SUMPRODUCT('MRP Parameters'!$C$10:$C$12,MPS!C32:C34)</f>
        <v>20</v>
      </c>
      <c r="K28" s="133">
        <f>SUMPRODUCT('MRP Parameters'!$C$10:$C$12,MPS!D32:D34)</f>
        <v>20</v>
      </c>
      <c r="L28" s="133">
        <f>SUMPRODUCT('MRP Parameters'!$C$10:$C$12,MPS!E32:E34)</f>
        <v>20</v>
      </c>
      <c r="M28" s="133">
        <f>SUMPRODUCT('MRP Parameters'!$C$10:$C$12,MPS!F32:F34)</f>
        <v>20</v>
      </c>
      <c r="N28" s="133">
        <f>SUMPRODUCT('MRP Parameters'!$C$10:$C$12,MPS!G32:G34)</f>
        <v>20</v>
      </c>
    </row>
    <row r="29" spans="1:14" ht="12.75">
      <c r="A29" s="26" t="s">
        <v>3</v>
      </c>
      <c r="B29" s="205">
        <v>33</v>
      </c>
      <c r="C29" s="132">
        <f>MAX(0,(B29+-C28))</f>
        <v>0</v>
      </c>
      <c r="D29" s="136">
        <f aca="true" t="shared" si="3" ref="D29:N29">MAX(0,(C29+D31-D28))</f>
        <v>0</v>
      </c>
      <c r="E29" s="133">
        <f t="shared" si="3"/>
        <v>11</v>
      </c>
      <c r="F29" s="132">
        <f t="shared" si="3"/>
        <v>7</v>
      </c>
      <c r="G29" s="133">
        <f t="shared" si="3"/>
        <v>3</v>
      </c>
      <c r="H29" s="133">
        <f t="shared" si="3"/>
        <v>0</v>
      </c>
      <c r="I29" s="133">
        <f t="shared" si="3"/>
        <v>20</v>
      </c>
      <c r="J29" s="133">
        <f t="shared" si="3"/>
        <v>0</v>
      </c>
      <c r="K29" s="133">
        <f t="shared" si="3"/>
        <v>20</v>
      </c>
      <c r="L29" s="133">
        <f t="shared" si="3"/>
        <v>0</v>
      </c>
      <c r="M29" s="133">
        <f t="shared" si="3"/>
        <v>20</v>
      </c>
      <c r="N29" s="133">
        <f t="shared" si="3"/>
        <v>0</v>
      </c>
    </row>
    <row r="30" spans="1:14" ht="13.5" thickBot="1">
      <c r="A30" s="26" t="s">
        <v>136</v>
      </c>
      <c r="B30" s="44"/>
      <c r="C30" s="133">
        <f>MAX(0,C28-B29)</f>
        <v>0</v>
      </c>
      <c r="D30" s="136">
        <f aca="true" t="shared" si="4" ref="D30:N30">MAX(0,D28-C29-D31)</f>
        <v>0</v>
      </c>
      <c r="E30" s="133">
        <f t="shared" si="4"/>
        <v>0</v>
      </c>
      <c r="F30" s="132">
        <f t="shared" si="4"/>
        <v>0</v>
      </c>
      <c r="G30" s="133">
        <f t="shared" si="4"/>
        <v>0</v>
      </c>
      <c r="H30" s="133">
        <f t="shared" si="4"/>
        <v>0</v>
      </c>
      <c r="I30" s="133">
        <f t="shared" si="4"/>
        <v>0</v>
      </c>
      <c r="J30" s="133">
        <f t="shared" si="4"/>
        <v>0</v>
      </c>
      <c r="K30" s="133">
        <f t="shared" si="4"/>
        <v>0</v>
      </c>
      <c r="L30" s="133">
        <f t="shared" si="4"/>
        <v>0</v>
      </c>
      <c r="M30" s="133">
        <f t="shared" si="4"/>
        <v>0</v>
      </c>
      <c r="N30" s="133">
        <f t="shared" si="4"/>
        <v>0</v>
      </c>
    </row>
    <row r="31" spans="1:14" ht="12.75">
      <c r="A31" s="26" t="s">
        <v>155</v>
      </c>
      <c r="B31" s="97"/>
      <c r="C31" s="137" t="s">
        <v>25</v>
      </c>
      <c r="D31" s="207"/>
      <c r="E31" s="207">
        <v>15</v>
      </c>
      <c r="F31" s="207"/>
      <c r="G31" s="207"/>
      <c r="H31" s="207"/>
      <c r="I31" s="207">
        <v>40</v>
      </c>
      <c r="J31" s="207"/>
      <c r="K31" s="207">
        <v>40</v>
      </c>
      <c r="L31" s="207"/>
      <c r="M31" s="207">
        <v>40</v>
      </c>
      <c r="N31" s="208"/>
    </row>
    <row r="32" spans="1:14" ht="13.5" thickBot="1">
      <c r="A32" s="26" t="s">
        <v>143</v>
      </c>
      <c r="B32" s="97"/>
      <c r="C32" s="206"/>
      <c r="D32" s="209">
        <v>15</v>
      </c>
      <c r="E32" s="209"/>
      <c r="F32" s="209"/>
      <c r="G32" s="209"/>
      <c r="H32" s="209">
        <v>40</v>
      </c>
      <c r="I32" s="209"/>
      <c r="J32" s="209">
        <v>40</v>
      </c>
      <c r="K32" s="209"/>
      <c r="L32" s="209">
        <v>40</v>
      </c>
      <c r="M32" s="209"/>
      <c r="N32" s="210"/>
    </row>
    <row r="33" spans="1:14" ht="12.75">
      <c r="A33" s="26" t="s">
        <v>139</v>
      </c>
      <c r="B33" s="133"/>
      <c r="C33" s="132"/>
      <c r="D33" s="133"/>
      <c r="E33" s="133"/>
      <c r="F33" s="133"/>
      <c r="G33" s="133"/>
      <c r="H33" s="133"/>
      <c r="I33" s="133"/>
      <c r="J33" s="133"/>
      <c r="K33" s="131"/>
      <c r="L33" s="133"/>
      <c r="M33" s="131"/>
      <c r="N33" s="133"/>
    </row>
    <row r="34" spans="1:14" ht="13.5" thickBot="1">
      <c r="A34" s="135" t="s">
        <v>140</v>
      </c>
      <c r="B34" s="27">
        <f>IF(B29&gt;0,1,0)</f>
        <v>1</v>
      </c>
      <c r="C34" s="66">
        <f>IF(C32&gt;0,1,0)</f>
        <v>0</v>
      </c>
      <c r="D34" s="27">
        <f aca="true" t="shared" si="5" ref="D34:N34">IF(D32&gt;0,1,0)</f>
        <v>1</v>
      </c>
      <c r="E34" s="27">
        <f t="shared" si="5"/>
        <v>0</v>
      </c>
      <c r="F34" s="27">
        <f t="shared" si="5"/>
        <v>0</v>
      </c>
      <c r="G34" s="27">
        <f t="shared" si="5"/>
        <v>0</v>
      </c>
      <c r="H34" s="27">
        <f t="shared" si="5"/>
        <v>1</v>
      </c>
      <c r="I34" s="27">
        <f t="shared" si="5"/>
        <v>0</v>
      </c>
      <c r="J34" s="27">
        <f t="shared" si="5"/>
        <v>1</v>
      </c>
      <c r="K34" s="65">
        <f t="shared" si="5"/>
        <v>0</v>
      </c>
      <c r="L34" s="27">
        <f t="shared" si="5"/>
        <v>1</v>
      </c>
      <c r="M34" s="65">
        <f t="shared" si="5"/>
        <v>0</v>
      </c>
      <c r="N34" s="27">
        <f t="shared" si="5"/>
        <v>0</v>
      </c>
    </row>
    <row r="35" ht="12.75">
      <c r="A35" s="1" t="s">
        <v>144</v>
      </c>
    </row>
    <row r="37" spans="1:5" ht="12.75">
      <c r="A37" s="1" t="s">
        <v>156</v>
      </c>
      <c r="D37" s="143">
        <f>SUM(B34:N34)*'MRP Parameters'!$B$23+SUM(C29:N29)*F25</f>
        <v>72.15</v>
      </c>
      <c r="E37" s="22"/>
    </row>
    <row r="38" ht="12.75">
      <c r="D38" s="143"/>
    </row>
    <row r="39" ht="10.5" customHeight="1"/>
    <row r="40" ht="10.5" customHeight="1"/>
    <row r="41" ht="13.5" thickBot="1"/>
    <row r="42" spans="6:13" ht="13.5" thickBot="1">
      <c r="F42" s="4" t="s">
        <v>137</v>
      </c>
      <c r="G42" s="5"/>
      <c r="H42" s="5"/>
      <c r="I42" s="5"/>
      <c r="J42" s="5"/>
      <c r="K42" s="5"/>
      <c r="L42" s="9" t="s">
        <v>138</v>
      </c>
      <c r="M42" s="9"/>
    </row>
    <row r="43" spans="1:13" ht="13.5" thickBot="1">
      <c r="A43" s="139" t="s">
        <v>146</v>
      </c>
      <c r="B43" s="5"/>
      <c r="C43" s="5" t="s">
        <v>141</v>
      </c>
      <c r="D43" s="5">
        <f>'MRP Parameters'!D20</f>
        <v>2</v>
      </c>
      <c r="E43" s="5"/>
      <c r="F43" s="129">
        <f>'MRP Parameters'!D19</f>
        <v>0.45</v>
      </c>
      <c r="G43" s="100"/>
      <c r="H43" s="100"/>
      <c r="I43" s="100"/>
      <c r="J43" s="128"/>
      <c r="K43" s="128"/>
      <c r="L43" s="140">
        <f>'MRP Parameters'!D18</f>
        <v>15</v>
      </c>
      <c r="M43" s="69"/>
    </row>
    <row r="44" spans="1:14" ht="13.5" thickBot="1">
      <c r="A44" s="108" t="s">
        <v>135</v>
      </c>
      <c r="B44" s="70">
        <v>0</v>
      </c>
      <c r="C44" s="70">
        <v>1</v>
      </c>
      <c r="D44" s="70">
        <v>2</v>
      </c>
      <c r="E44" s="29">
        <v>3</v>
      </c>
      <c r="F44" s="27">
        <v>4</v>
      </c>
      <c r="G44" s="27">
        <v>5</v>
      </c>
      <c r="H44" s="27">
        <v>6</v>
      </c>
      <c r="I44" s="27">
        <v>7</v>
      </c>
      <c r="J44" s="27">
        <v>8</v>
      </c>
      <c r="K44" s="65">
        <v>9</v>
      </c>
      <c r="L44" s="27">
        <v>10</v>
      </c>
      <c r="M44" s="65">
        <v>11</v>
      </c>
      <c r="N44" s="70">
        <v>12</v>
      </c>
    </row>
    <row r="45" spans="1:14" ht="12.75">
      <c r="A45" s="4"/>
      <c r="B45" s="29"/>
      <c r="C45" s="29"/>
      <c r="D45" s="96"/>
      <c r="E45" s="29"/>
      <c r="F45" s="60"/>
      <c r="G45" s="29"/>
      <c r="H45" s="29"/>
      <c r="I45" s="29"/>
      <c r="J45" s="29"/>
      <c r="K45" s="29"/>
      <c r="L45" s="29"/>
      <c r="M45" s="29"/>
      <c r="N45" s="29"/>
    </row>
    <row r="46" spans="1:14" ht="12.75">
      <c r="A46" s="26" t="s">
        <v>142</v>
      </c>
      <c r="B46" s="44"/>
      <c r="C46" s="133">
        <f>SUMPRODUCT('MRP Parameters'!$D$10:$D$12,MPS!B11:B13)</f>
        <v>9</v>
      </c>
      <c r="D46" s="133">
        <f>SUMPRODUCT('MRP Parameters'!$D$10:$D$12,MPS!C11:C13)</f>
        <v>0</v>
      </c>
      <c r="E46" s="133">
        <f>SUMPRODUCT('MRP Parameters'!$D$10:$D$12,MPS!D11:D13)</f>
        <v>4</v>
      </c>
      <c r="F46" s="133">
        <f>SUMPRODUCT('MRP Parameters'!$D$10:$D$12,MPS!E11:E13)</f>
        <v>4</v>
      </c>
      <c r="G46" s="133">
        <f>SUMPRODUCT('MRP Parameters'!$D$10:$D$12,MPS!F11:F13)</f>
        <v>4</v>
      </c>
      <c r="H46" s="133">
        <f>SUMPRODUCT('MRP Parameters'!$D$10:$D$12,MPS!G11:G13)</f>
        <v>3</v>
      </c>
      <c r="I46" s="133">
        <f>SUMPRODUCT('MRP Parameters'!$D$10:$D$12,MPS!B32:B34)</f>
        <v>10</v>
      </c>
      <c r="J46" s="133">
        <f>SUMPRODUCT('MRP Parameters'!$D$10:$D$12,MPS!C32:C34)</f>
        <v>10</v>
      </c>
      <c r="K46" s="133">
        <f>SUMPRODUCT('MRP Parameters'!$D$10:$D$12,MPS!D32:D34)</f>
        <v>10</v>
      </c>
      <c r="L46" s="133">
        <f>SUMPRODUCT('MRP Parameters'!$D$10:$D$12,MPS!E32:E34)</f>
        <v>10</v>
      </c>
      <c r="M46" s="133">
        <f>SUMPRODUCT('MRP Parameters'!$D$10:$D$12,MPS!F32:F34)</f>
        <v>10</v>
      </c>
      <c r="N46" s="133">
        <f>SUMPRODUCT('MRP Parameters'!$D$10:$D$12,MPS!G32:G34)</f>
        <v>10</v>
      </c>
    </row>
    <row r="47" spans="1:14" ht="12.75">
      <c r="A47" s="26" t="s">
        <v>3</v>
      </c>
      <c r="B47" s="205">
        <v>9</v>
      </c>
      <c r="C47" s="132">
        <f>MAX(0,(B47+-C46))</f>
        <v>0</v>
      </c>
      <c r="D47" s="132">
        <f>MAX(0,(C47+-D46))</f>
        <v>0</v>
      </c>
      <c r="E47" s="133">
        <f aca="true" t="shared" si="6" ref="E47:N47">MAX(0,(D47+E49-E46))</f>
        <v>11</v>
      </c>
      <c r="F47" s="132">
        <f t="shared" si="6"/>
        <v>7</v>
      </c>
      <c r="G47" s="133">
        <f t="shared" si="6"/>
        <v>3</v>
      </c>
      <c r="H47" s="133">
        <f t="shared" si="6"/>
        <v>0</v>
      </c>
      <c r="I47" s="133">
        <f t="shared" si="6"/>
        <v>10</v>
      </c>
      <c r="J47" s="133">
        <f t="shared" si="6"/>
        <v>0</v>
      </c>
      <c r="K47" s="133">
        <f t="shared" si="6"/>
        <v>10</v>
      </c>
      <c r="L47" s="133">
        <f t="shared" si="6"/>
        <v>0</v>
      </c>
      <c r="M47" s="133">
        <f t="shared" si="6"/>
        <v>10</v>
      </c>
      <c r="N47" s="133">
        <f t="shared" si="6"/>
        <v>0</v>
      </c>
    </row>
    <row r="48" spans="1:14" ht="13.5" thickBot="1">
      <c r="A48" s="26" t="s">
        <v>136</v>
      </c>
      <c r="B48" s="44"/>
      <c r="C48" s="133">
        <f>MAX(0,C46-B47)</f>
        <v>0</v>
      </c>
      <c r="D48" s="133">
        <f>MAX(0,D46-C47)</f>
        <v>0</v>
      </c>
      <c r="E48" s="133">
        <f aca="true" t="shared" si="7" ref="E48:N48">MAX(0,E46-D47-E49)</f>
        <v>0</v>
      </c>
      <c r="F48" s="132">
        <f t="shared" si="7"/>
        <v>0</v>
      </c>
      <c r="G48" s="133">
        <f t="shared" si="7"/>
        <v>0</v>
      </c>
      <c r="H48" s="133">
        <f t="shared" si="7"/>
        <v>0</v>
      </c>
      <c r="I48" s="133">
        <f t="shared" si="7"/>
        <v>0</v>
      </c>
      <c r="J48" s="133">
        <f t="shared" si="7"/>
        <v>0</v>
      </c>
      <c r="K48" s="133">
        <f t="shared" si="7"/>
        <v>0</v>
      </c>
      <c r="L48" s="133">
        <f t="shared" si="7"/>
        <v>0</v>
      </c>
      <c r="M48" s="133">
        <f t="shared" si="7"/>
        <v>0</v>
      </c>
      <c r="N48" s="133">
        <f t="shared" si="7"/>
        <v>0</v>
      </c>
    </row>
    <row r="49" spans="1:14" ht="12.75">
      <c r="A49" s="26" t="s">
        <v>155</v>
      </c>
      <c r="B49" s="97"/>
      <c r="C49" s="137" t="s">
        <v>25</v>
      </c>
      <c r="D49" s="141" t="s">
        <v>25</v>
      </c>
      <c r="E49" s="207">
        <v>15</v>
      </c>
      <c r="F49" s="207"/>
      <c r="G49" s="207"/>
      <c r="H49" s="207"/>
      <c r="I49" s="207">
        <v>20</v>
      </c>
      <c r="J49" s="207"/>
      <c r="K49" s="207">
        <v>20</v>
      </c>
      <c r="L49" s="207"/>
      <c r="M49" s="207">
        <v>20</v>
      </c>
      <c r="N49" s="208"/>
    </row>
    <row r="50" spans="1:14" ht="13.5" thickBot="1">
      <c r="A50" s="26" t="s">
        <v>143</v>
      </c>
      <c r="B50" s="97"/>
      <c r="C50" s="206">
        <v>15</v>
      </c>
      <c r="D50" s="209"/>
      <c r="E50" s="209"/>
      <c r="F50" s="209"/>
      <c r="G50" s="209">
        <v>20</v>
      </c>
      <c r="H50" s="209"/>
      <c r="I50" s="209">
        <v>20</v>
      </c>
      <c r="J50" s="209"/>
      <c r="K50" s="209">
        <v>20</v>
      </c>
      <c r="L50" s="209"/>
      <c r="M50" s="209"/>
      <c r="N50" s="210"/>
    </row>
    <row r="51" spans="1:14" ht="12.75">
      <c r="A51" s="26" t="s">
        <v>139</v>
      </c>
      <c r="B51" s="133"/>
      <c r="C51" s="132"/>
      <c r="D51" s="133"/>
      <c r="E51" s="133"/>
      <c r="F51" s="133"/>
      <c r="G51" s="133"/>
      <c r="H51" s="133"/>
      <c r="I51" s="133"/>
      <c r="J51" s="133"/>
      <c r="K51" s="131"/>
      <c r="L51" s="133"/>
      <c r="M51" s="131"/>
      <c r="N51" s="133"/>
    </row>
    <row r="52" spans="1:14" ht="13.5" thickBot="1">
      <c r="A52" s="135" t="s">
        <v>140</v>
      </c>
      <c r="B52" s="27">
        <f>IF(B47&gt;0,1,0)</f>
        <v>1</v>
      </c>
      <c r="C52" s="66">
        <f>IF(C50&gt;0,1,0)</f>
        <v>1</v>
      </c>
      <c r="D52" s="27">
        <f aca="true" t="shared" si="8" ref="D52:N52">IF(D50&gt;0,1,0)</f>
        <v>0</v>
      </c>
      <c r="E52" s="27">
        <f t="shared" si="8"/>
        <v>0</v>
      </c>
      <c r="F52" s="27">
        <f t="shared" si="8"/>
        <v>0</v>
      </c>
      <c r="G52" s="27">
        <f t="shared" si="8"/>
        <v>1</v>
      </c>
      <c r="H52" s="27">
        <f t="shared" si="8"/>
        <v>0</v>
      </c>
      <c r="I52" s="27">
        <f t="shared" si="8"/>
        <v>1</v>
      </c>
      <c r="J52" s="27">
        <f t="shared" si="8"/>
        <v>0</v>
      </c>
      <c r="K52" s="65">
        <f t="shared" si="8"/>
        <v>1</v>
      </c>
      <c r="L52" s="27">
        <f t="shared" si="8"/>
        <v>0</v>
      </c>
      <c r="M52" s="65">
        <f t="shared" si="8"/>
        <v>0</v>
      </c>
      <c r="N52" s="27">
        <f t="shared" si="8"/>
        <v>0</v>
      </c>
    </row>
    <row r="53" ht="12.75">
      <c r="A53" s="1" t="s">
        <v>147</v>
      </c>
    </row>
    <row r="55" spans="1:5" ht="12.75">
      <c r="A55" s="1" t="s">
        <v>156</v>
      </c>
      <c r="D55" s="143">
        <f>SUM(B52:N52)*'MRP Parameters'!$B$23+SUM(C47:N47)*F43</f>
        <v>82.95</v>
      </c>
      <c r="E55" s="22"/>
    </row>
    <row r="56" ht="12.75">
      <c r="D56" s="143"/>
    </row>
    <row r="57" ht="9.75" customHeight="1"/>
    <row r="58" ht="8.25" customHeight="1"/>
    <row r="59" ht="13.5" thickBot="1"/>
    <row r="60" spans="6:13" ht="13.5" thickBot="1">
      <c r="F60" s="4" t="s">
        <v>137</v>
      </c>
      <c r="G60" s="5"/>
      <c r="H60" s="5"/>
      <c r="I60" s="5"/>
      <c r="J60" s="5"/>
      <c r="K60" s="5"/>
      <c r="L60" s="9" t="s">
        <v>138</v>
      </c>
      <c r="M60" s="9"/>
    </row>
    <row r="61" spans="1:13" ht="13.5" thickBot="1">
      <c r="A61" s="142" t="s">
        <v>148</v>
      </c>
      <c r="B61" s="5"/>
      <c r="C61" s="5" t="s">
        <v>141</v>
      </c>
      <c r="D61" s="5">
        <f>'MRP Parameters'!E20</f>
        <v>1</v>
      </c>
      <c r="E61" s="5"/>
      <c r="F61" s="129">
        <f>'MRP Parameters'!E19</f>
        <v>0.3</v>
      </c>
      <c r="G61" s="100"/>
      <c r="H61" s="100"/>
      <c r="I61" s="100"/>
      <c r="J61" s="128"/>
      <c r="K61" s="128"/>
      <c r="L61" s="140">
        <f>'MRP Parameters'!E18</f>
        <v>10</v>
      </c>
      <c r="M61" s="69"/>
    </row>
    <row r="62" spans="1:14" ht="13.5" thickBot="1">
      <c r="A62" s="108" t="s">
        <v>135</v>
      </c>
      <c r="B62" s="70">
        <v>0</v>
      </c>
      <c r="C62" s="70">
        <v>1</v>
      </c>
      <c r="D62" s="70">
        <v>2</v>
      </c>
      <c r="E62" s="29">
        <v>3</v>
      </c>
      <c r="F62" s="27">
        <v>4</v>
      </c>
      <c r="G62" s="27">
        <v>5</v>
      </c>
      <c r="H62" s="27">
        <v>6</v>
      </c>
      <c r="I62" s="27">
        <v>7</v>
      </c>
      <c r="J62" s="27">
        <v>8</v>
      </c>
      <c r="K62" s="65">
        <v>9</v>
      </c>
      <c r="L62" s="27">
        <v>10</v>
      </c>
      <c r="M62" s="65">
        <v>11</v>
      </c>
      <c r="N62" s="70">
        <v>12</v>
      </c>
    </row>
    <row r="63" spans="1:14" ht="12.75">
      <c r="A63" s="4"/>
      <c r="B63" s="29"/>
      <c r="C63" s="29"/>
      <c r="D63" s="96"/>
      <c r="E63" s="29"/>
      <c r="F63" s="60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26" t="s">
        <v>142</v>
      </c>
      <c r="B64" s="44"/>
      <c r="C64" s="133">
        <f>SUMPRODUCT('MRP Parameters'!$E$10:$E$12,MPS!B11:B13)</f>
        <v>22</v>
      </c>
      <c r="D64" s="133">
        <f>SUMPRODUCT('MRP Parameters'!$E$10:$E$12,MPS!C11:C13)</f>
        <v>50</v>
      </c>
      <c r="E64" s="133">
        <f>SUMPRODUCT('MRP Parameters'!$E$10:$E$12,MPS!D11:D13)</f>
        <v>0</v>
      </c>
      <c r="F64" s="133">
        <f>SUMPRODUCT('MRP Parameters'!$E$10:$E$12,MPS!E11:E13)</f>
        <v>0</v>
      </c>
      <c r="G64" s="133">
        <f>SUMPRODUCT('MRP Parameters'!$E$10:$E$12,MPS!F11:F13)</f>
        <v>0</v>
      </c>
      <c r="H64" s="133">
        <f>SUMPRODUCT('MRP Parameters'!$E$10:$E$12,MPS!G11:G13)</f>
        <v>0</v>
      </c>
      <c r="I64" s="133">
        <f>SUMPRODUCT('MRP Parameters'!$E$10:$E$12,MPS!B32:B34)</f>
        <v>30</v>
      </c>
      <c r="J64" s="133">
        <f>SUMPRODUCT('MRP Parameters'!$E$10:$E$12,MPS!C32:C34)</f>
        <v>30</v>
      </c>
      <c r="K64" s="133">
        <f>SUMPRODUCT('MRP Parameters'!$E$10:$E$12,MPS!D32:D34)</f>
        <v>30</v>
      </c>
      <c r="L64" s="133">
        <f>SUMPRODUCT('MRP Parameters'!$E$10:$E$12,MPS!E32:E34)</f>
        <v>30</v>
      </c>
      <c r="M64" s="133">
        <f>SUMPRODUCT('MRP Parameters'!$E$10:$E$12,MPS!F32:F34)</f>
        <v>30</v>
      </c>
      <c r="N64" s="133">
        <f>SUMPRODUCT('MRP Parameters'!$E$10:$E$12,MPS!G32:G34)</f>
        <v>30</v>
      </c>
    </row>
    <row r="65" spans="1:14" ht="12.75">
      <c r="A65" s="26" t="s">
        <v>3</v>
      </c>
      <c r="B65" s="205">
        <v>22</v>
      </c>
      <c r="C65" s="132">
        <f>MAX(0,(B65+-C64))</f>
        <v>0</v>
      </c>
      <c r="D65" s="136">
        <f aca="true" t="shared" si="9" ref="D65:N65">MAX(0,(C65+D67-D64))</f>
        <v>0</v>
      </c>
      <c r="E65" s="133">
        <f t="shared" si="9"/>
        <v>0</v>
      </c>
      <c r="F65" s="132">
        <f t="shared" si="9"/>
        <v>0</v>
      </c>
      <c r="G65" s="133">
        <f t="shared" si="9"/>
        <v>0</v>
      </c>
      <c r="H65" s="133">
        <f t="shared" si="9"/>
        <v>0</v>
      </c>
      <c r="I65" s="133">
        <f t="shared" si="9"/>
        <v>30</v>
      </c>
      <c r="J65" s="133">
        <f t="shared" si="9"/>
        <v>0</v>
      </c>
      <c r="K65" s="133">
        <f t="shared" si="9"/>
        <v>30</v>
      </c>
      <c r="L65" s="133">
        <f t="shared" si="9"/>
        <v>0</v>
      </c>
      <c r="M65" s="133">
        <f t="shared" si="9"/>
        <v>30</v>
      </c>
      <c r="N65" s="133">
        <f t="shared" si="9"/>
        <v>0</v>
      </c>
    </row>
    <row r="66" spans="1:14" ht="13.5" thickBot="1">
      <c r="A66" s="26" t="s">
        <v>136</v>
      </c>
      <c r="B66" s="44"/>
      <c r="C66" s="133">
        <f>MAX(0,C64-B65)</f>
        <v>0</v>
      </c>
      <c r="D66" s="136">
        <f aca="true" t="shared" si="10" ref="D66:N66">MAX(0,D64-C65-D67)</f>
        <v>0</v>
      </c>
      <c r="E66" s="133">
        <f t="shared" si="10"/>
        <v>0</v>
      </c>
      <c r="F66" s="132">
        <f t="shared" si="10"/>
        <v>0</v>
      </c>
      <c r="G66" s="133">
        <f t="shared" si="10"/>
        <v>0</v>
      </c>
      <c r="H66" s="133">
        <f t="shared" si="10"/>
        <v>0</v>
      </c>
      <c r="I66" s="133">
        <f t="shared" si="10"/>
        <v>0</v>
      </c>
      <c r="J66" s="133">
        <f t="shared" si="10"/>
        <v>0</v>
      </c>
      <c r="K66" s="133">
        <f t="shared" si="10"/>
        <v>0</v>
      </c>
      <c r="L66" s="133">
        <f t="shared" si="10"/>
        <v>0</v>
      </c>
      <c r="M66" s="133">
        <f t="shared" si="10"/>
        <v>0</v>
      </c>
      <c r="N66" s="133">
        <f t="shared" si="10"/>
        <v>0</v>
      </c>
    </row>
    <row r="67" spans="1:14" ht="12.75">
      <c r="A67" s="26" t="s">
        <v>155</v>
      </c>
      <c r="B67" s="97"/>
      <c r="C67" s="137" t="s">
        <v>25</v>
      </c>
      <c r="D67" s="207">
        <v>50</v>
      </c>
      <c r="E67" s="207"/>
      <c r="F67" s="207"/>
      <c r="G67" s="207"/>
      <c r="H67" s="207"/>
      <c r="I67" s="207">
        <v>60</v>
      </c>
      <c r="J67" s="207"/>
      <c r="K67" s="207">
        <v>60</v>
      </c>
      <c r="L67" s="207"/>
      <c r="M67" s="207">
        <v>60</v>
      </c>
      <c r="N67" s="208"/>
    </row>
    <row r="68" spans="1:14" ht="13.5" thickBot="1">
      <c r="A68" s="26" t="s">
        <v>143</v>
      </c>
      <c r="B68" s="97"/>
      <c r="C68" s="206">
        <v>50</v>
      </c>
      <c r="D68" s="209"/>
      <c r="E68" s="209"/>
      <c r="F68" s="209"/>
      <c r="G68" s="209"/>
      <c r="H68" s="209">
        <v>60</v>
      </c>
      <c r="I68" s="209"/>
      <c r="J68" s="209">
        <v>60</v>
      </c>
      <c r="K68" s="209"/>
      <c r="L68" s="209">
        <v>60</v>
      </c>
      <c r="M68" s="209"/>
      <c r="N68" s="210"/>
    </row>
    <row r="69" spans="1:14" ht="12.75">
      <c r="A69" s="26" t="s">
        <v>139</v>
      </c>
      <c r="B69" s="133"/>
      <c r="C69" s="132"/>
      <c r="D69" s="133"/>
      <c r="E69" s="133"/>
      <c r="F69" s="133"/>
      <c r="G69" s="133"/>
      <c r="H69" s="133"/>
      <c r="I69" s="133"/>
      <c r="J69" s="133"/>
      <c r="K69" s="131"/>
      <c r="L69" s="133"/>
      <c r="M69" s="131"/>
      <c r="N69" s="133"/>
    </row>
    <row r="70" spans="1:14" ht="13.5" thickBot="1">
      <c r="A70" s="135" t="s">
        <v>140</v>
      </c>
      <c r="B70" s="27">
        <f>IF(B65&gt;0,1,0)</f>
        <v>1</v>
      </c>
      <c r="C70" s="66">
        <f>IF(C68&gt;0,1,0)</f>
        <v>1</v>
      </c>
      <c r="D70" s="27">
        <f aca="true" t="shared" si="11" ref="D70:N70">IF(D68&gt;0,1,0)</f>
        <v>0</v>
      </c>
      <c r="E70" s="27">
        <f t="shared" si="11"/>
        <v>0</v>
      </c>
      <c r="F70" s="27">
        <f t="shared" si="11"/>
        <v>0</v>
      </c>
      <c r="G70" s="27">
        <f t="shared" si="11"/>
        <v>0</v>
      </c>
      <c r="H70" s="27">
        <f t="shared" si="11"/>
        <v>1</v>
      </c>
      <c r="I70" s="27">
        <f t="shared" si="11"/>
        <v>0</v>
      </c>
      <c r="J70" s="27">
        <f t="shared" si="11"/>
        <v>1</v>
      </c>
      <c r="K70" s="65">
        <f t="shared" si="11"/>
        <v>0</v>
      </c>
      <c r="L70" s="27">
        <f t="shared" si="11"/>
        <v>1</v>
      </c>
      <c r="M70" s="65">
        <f t="shared" si="11"/>
        <v>0</v>
      </c>
      <c r="N70" s="27">
        <f t="shared" si="11"/>
        <v>0</v>
      </c>
    </row>
    <row r="71" ht="12.75">
      <c r="A71" s="1" t="s">
        <v>144</v>
      </c>
    </row>
    <row r="73" spans="1:5" ht="12.75">
      <c r="A73" s="1" t="s">
        <v>156</v>
      </c>
      <c r="D73" s="143">
        <f>SUM(B70:N70)*'MRP Parameters'!$B$23+SUM(C65:N65)*F61</f>
        <v>87</v>
      </c>
      <c r="E73" s="22"/>
    </row>
    <row r="74" ht="12.75">
      <c r="D74" s="143"/>
    </row>
    <row r="75" ht="6.75" customHeight="1"/>
    <row r="76" ht="12.75" hidden="1"/>
    <row r="77" spans="1:6" ht="18">
      <c r="A77" s="211" t="s">
        <v>170</v>
      </c>
      <c r="B77" s="3"/>
      <c r="C77" s="3"/>
      <c r="D77" s="3"/>
      <c r="E77" s="3"/>
      <c r="F77" s="3"/>
    </row>
    <row r="79" ht="18">
      <c r="A79" s="191">
        <f>IF(K1="","",MPS!N46-MRP!D19-MRP!D37-MRP!D55-MRP!D73)</f>
        <v>3841.1</v>
      </c>
    </row>
  </sheetData>
  <sheetProtection sheet="1" objects="1" scenarios="1"/>
  <dataValidations count="2">
    <dataValidation type="whole" allowBlank="1" showInputMessage="1" showErrorMessage="1" sqref="B11 B29 C32 D31:N32 B47 C50 D50 E49:N50 B65 C68 D67:N68">
      <formula1>0</formula1>
      <formula2>500</formula2>
    </dataValidation>
    <dataValidation type="whole" allowBlank="1" showInputMessage="1" showErrorMessage="1" sqref="D13:N14 C14">
      <formula1>0</formula1>
      <formula2>500</formula2>
    </dataValidation>
  </dataValidations>
  <printOptions/>
  <pageMargins left="0.75" right="0.75" top="1" bottom="1" header="0.5" footer="0.5"/>
  <pageSetup horizontalDpi="300" verticalDpi="300" orientation="landscape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cp:lastPrinted>2005-09-14T13:35:00Z</cp:lastPrinted>
  <dcterms:created xsi:type="dcterms:W3CDTF">1998-10-22T14:57:20Z</dcterms:created>
  <dcterms:modified xsi:type="dcterms:W3CDTF">2005-09-14T13:38:50Z</dcterms:modified>
  <cp:category/>
  <cp:version/>
  <cp:contentType/>
  <cp:contentStatus/>
</cp:coreProperties>
</file>